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xr:revisionPtr revIDLastSave="0" documentId="13_ncr:1_{E2284CEC-DAD5-1A4D-8E49-AE0B5D806787}" xr6:coauthVersionLast="47" xr6:coauthVersionMax="47" xr10:uidLastSave="{00000000-0000-0000-0000-000000000000}"/>
  <bookViews>
    <workbookView xWindow="0" yWindow="760" windowWidth="34200" windowHeight="20320" xr2:uid="{00000000-000D-0000-FFFF-FFFF00000000}"/>
  </bookViews>
  <sheets>
    <sheet name="Bắt đầu" sheetId="1" r:id="rId1"/>
    <sheet name="1 Danh mục" sheetId="2" r:id="rId2"/>
    <sheet name="2 Sản lượng theo ca" sheetId="3" r:id="rId3"/>
    <sheet name="3 Nhật ký dừng máy" sheetId="4" r:id="rId4"/>
    <sheet name="4 Tiến độ lệnh" sheetId="5" r:id="rId5"/>
    <sheet name="5 Báo cáo ca" sheetId="6" r:id="rId6"/>
    <sheet name="6 Dừng máy theo lý do" sheetId="7" r:id="rId7"/>
    <sheet name="7 Tổng hợp theo máy" sheetId="8" r:id="rId8"/>
    <sheet name="8 Tự kiểm dữ liệu" sheetId="9" r:id="rId9"/>
  </sheets>
  <definedNames>
    <definedName name="CA_NGHI">'1 Danh mục'!$H$6:$H$11</definedName>
    <definedName name="CA_TG">'1 Danh mục'!$G$6:$G$11</definedName>
    <definedName name="DS_BP">'1 Danh mục'!$V$6:$V$13</definedName>
    <definedName name="DS_CA">'1 Danh mục'!$D$6:$D$11</definedName>
    <definedName name="DS_LSX">'4 Tiến độ lệnh'!$A$6:$A$55</definedName>
    <definedName name="DS_LYDO">'1 Danh mục'!$N$6:$N$35</definedName>
    <definedName name="DS_MAY">'1 Danh mục'!$A$6:$A$25</definedName>
    <definedName name="DS_MH">'1 Danh mục'!$J$6:$J$55</definedName>
    <definedName name="DS_NV">'1 Danh mục'!$S$6:$S$55</definedName>
    <definedName name="LYDO_BP">'1 Danh mục'!$Q$6:$Q$35</definedName>
    <definedName name="LYDO_LOAI">'1 Danh mục'!$P$6:$P$35</definedName>
    <definedName name="LYDO_TEN">'1 Danh mục'!$O$6:$O$35</definedName>
    <definedName name="MH_CT">'1 Danh mục'!$L$6:$L$55</definedName>
    <definedName name="NGHI_TUAN">'1 Danh mục'!$D$14</definedName>
    <definedName name="_xlnm.Print_Area" localSheetId="5">'5 Báo cáo ca'!$A$1:$M$35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9" l="1"/>
  <c r="E26" i="8"/>
  <c r="H26" i="8" s="1"/>
  <c r="D26" i="8"/>
  <c r="C26" i="8"/>
  <c r="B26" i="8"/>
  <c r="M25" i="8"/>
  <c r="A25" i="8"/>
  <c r="L25" i="8" s="1"/>
  <c r="N24" i="8"/>
  <c r="M24" i="8"/>
  <c r="L24" i="8"/>
  <c r="G24" i="8"/>
  <c r="F24" i="8"/>
  <c r="E24" i="8"/>
  <c r="A24" i="8"/>
  <c r="J24" i="8" s="1"/>
  <c r="A23" i="8"/>
  <c r="K23" i="8" s="1"/>
  <c r="N22" i="8"/>
  <c r="E22" i="8"/>
  <c r="D22" i="8"/>
  <c r="A22" i="8"/>
  <c r="M22" i="8" s="1"/>
  <c r="N21" i="8"/>
  <c r="M21" i="8"/>
  <c r="I21" i="8"/>
  <c r="D21" i="8"/>
  <c r="A21" i="8"/>
  <c r="L21" i="8" s="1"/>
  <c r="M20" i="8"/>
  <c r="L20" i="8"/>
  <c r="K20" i="8"/>
  <c r="A20" i="8"/>
  <c r="J20" i="8" s="1"/>
  <c r="L19" i="8"/>
  <c r="G19" i="8"/>
  <c r="F19" i="8"/>
  <c r="A19" i="8"/>
  <c r="J19" i="8" s="1"/>
  <c r="A18" i="8"/>
  <c r="J18" i="8" s="1"/>
  <c r="A17" i="8"/>
  <c r="N17" i="8" s="1"/>
  <c r="A16" i="8"/>
  <c r="L16" i="8" s="1"/>
  <c r="A15" i="8"/>
  <c r="M15" i="8" s="1"/>
  <c r="N14" i="8"/>
  <c r="M14" i="8"/>
  <c r="L14" i="8"/>
  <c r="G14" i="8"/>
  <c r="F14" i="8"/>
  <c r="E14" i="8"/>
  <c r="A14" i="8"/>
  <c r="J14" i="8" s="1"/>
  <c r="A13" i="8"/>
  <c r="K13" i="8" s="1"/>
  <c r="M12" i="8"/>
  <c r="A12" i="8"/>
  <c r="L12" i="8" s="1"/>
  <c r="I11" i="8"/>
  <c r="H11" i="8"/>
  <c r="G11" i="8"/>
  <c r="A11" i="8"/>
  <c r="L11" i="8" s="1"/>
  <c r="M10" i="8"/>
  <c r="L10" i="8"/>
  <c r="K10" i="8"/>
  <c r="H10" i="8"/>
  <c r="G10" i="8"/>
  <c r="A10" i="8"/>
  <c r="A9" i="8"/>
  <c r="E9" i="8" s="1"/>
  <c r="A8" i="8"/>
  <c r="E7" i="8"/>
  <c r="A7" i="8"/>
  <c r="D7" i="8" s="1"/>
  <c r="E6" i="8"/>
  <c r="D6" i="8"/>
  <c r="C6" i="8"/>
  <c r="A6" i="8"/>
  <c r="A48" i="7"/>
  <c r="A47" i="7"/>
  <c r="B47" i="7" s="1"/>
  <c r="A46" i="7"/>
  <c r="B46" i="7" s="1"/>
  <c r="A45" i="7"/>
  <c r="A44" i="7"/>
  <c r="A43" i="7"/>
  <c r="A42" i="7"/>
  <c r="A41" i="7"/>
  <c r="A36" i="7"/>
  <c r="E36" i="7" s="1"/>
  <c r="D35" i="7"/>
  <c r="A35" i="7"/>
  <c r="B35" i="7" s="1"/>
  <c r="A34" i="7"/>
  <c r="F34" i="7" s="1"/>
  <c r="A33" i="7"/>
  <c r="F33" i="7" s="1"/>
  <c r="F32" i="7"/>
  <c r="E32" i="7"/>
  <c r="A32" i="7"/>
  <c r="D32" i="7" s="1"/>
  <c r="A31" i="7"/>
  <c r="A30" i="7"/>
  <c r="F29" i="7"/>
  <c r="E29" i="7"/>
  <c r="D29" i="7"/>
  <c r="C29" i="7"/>
  <c r="G29" i="7" s="1"/>
  <c r="B29" i="7"/>
  <c r="A29" i="7"/>
  <c r="E28" i="7"/>
  <c r="B28" i="7"/>
  <c r="A28" i="7"/>
  <c r="D28" i="7" s="1"/>
  <c r="E27" i="7"/>
  <c r="A27" i="7"/>
  <c r="Q26" i="7"/>
  <c r="B26" i="7"/>
  <c r="A26" i="7"/>
  <c r="E26" i="7" s="1"/>
  <c r="Q25" i="7"/>
  <c r="F25" i="7"/>
  <c r="A25" i="7"/>
  <c r="E25" i="7" s="1"/>
  <c r="Q24" i="7"/>
  <c r="A24" i="7"/>
  <c r="F24" i="7" s="1"/>
  <c r="Q23" i="7"/>
  <c r="A23" i="7"/>
  <c r="B23" i="7" s="1"/>
  <c r="Q22" i="7"/>
  <c r="E22" i="7"/>
  <c r="C22" i="7"/>
  <c r="B22" i="7"/>
  <c r="A22" i="7"/>
  <c r="Q21" i="7"/>
  <c r="D21" i="7"/>
  <c r="A21" i="7"/>
  <c r="C21" i="7" s="1"/>
  <c r="Q20" i="7"/>
  <c r="A20" i="7"/>
  <c r="Q19" i="7"/>
  <c r="D19" i="7"/>
  <c r="C19" i="7"/>
  <c r="A19" i="7"/>
  <c r="F19" i="7" s="1"/>
  <c r="Q18" i="7"/>
  <c r="A18" i="7"/>
  <c r="B18" i="7" s="1"/>
  <c r="Q17" i="7"/>
  <c r="A17" i="7"/>
  <c r="Q16" i="7"/>
  <c r="B16" i="7"/>
  <c r="A16" i="7"/>
  <c r="E16" i="7" s="1"/>
  <c r="Q15" i="7"/>
  <c r="E15" i="7"/>
  <c r="A15" i="7"/>
  <c r="Q14" i="7"/>
  <c r="E14" i="7"/>
  <c r="A14" i="7"/>
  <c r="Q13" i="7"/>
  <c r="C13" i="7"/>
  <c r="A13" i="7"/>
  <c r="B13" i="7" s="1"/>
  <c r="Q12" i="7"/>
  <c r="E12" i="7"/>
  <c r="A12" i="7"/>
  <c r="B12" i="7" s="1"/>
  <c r="Q11" i="7"/>
  <c r="A11" i="7"/>
  <c r="Q10" i="7"/>
  <c r="A10" i="7"/>
  <c r="Q9" i="7"/>
  <c r="C9" i="7"/>
  <c r="A9" i="7"/>
  <c r="E9" i="7" s="1"/>
  <c r="Q8" i="7"/>
  <c r="E8" i="7"/>
  <c r="A8" i="7"/>
  <c r="B8" i="7" s="1"/>
  <c r="Q7" i="7"/>
  <c r="B7" i="7"/>
  <c r="A7" i="7"/>
  <c r="C7" i="7" s="1"/>
  <c r="G27" i="6"/>
  <c r="F27" i="6"/>
  <c r="E27" i="6"/>
  <c r="A26" i="6"/>
  <c r="H26" i="6" s="1"/>
  <c r="M25" i="6"/>
  <c r="J25" i="6"/>
  <c r="F25" i="6"/>
  <c r="C25" i="6"/>
  <c r="B25" i="6"/>
  <c r="A25" i="6"/>
  <c r="K25" i="6" s="1"/>
  <c r="K24" i="6"/>
  <c r="E24" i="6"/>
  <c r="A24" i="6"/>
  <c r="D24" i="6" s="1"/>
  <c r="I23" i="6"/>
  <c r="H23" i="6"/>
  <c r="F23" i="6"/>
  <c r="E23" i="6"/>
  <c r="A23" i="6"/>
  <c r="G23" i="6" s="1"/>
  <c r="H22" i="6"/>
  <c r="G22" i="6"/>
  <c r="F22" i="6"/>
  <c r="E22" i="6"/>
  <c r="B22" i="6"/>
  <c r="A22" i="6"/>
  <c r="J22" i="6" s="1"/>
  <c r="F21" i="6"/>
  <c r="A21" i="6"/>
  <c r="L21" i="6" s="1"/>
  <c r="A20" i="6"/>
  <c r="A19" i="6"/>
  <c r="E19" i="6" s="1"/>
  <c r="M18" i="6"/>
  <c r="K18" i="6"/>
  <c r="G18" i="6"/>
  <c r="A18" i="6"/>
  <c r="E18" i="6" s="1"/>
  <c r="J17" i="6"/>
  <c r="G17" i="6"/>
  <c r="F17" i="6"/>
  <c r="D17" i="6"/>
  <c r="C17" i="6"/>
  <c r="A17" i="6"/>
  <c r="E17" i="6" s="1"/>
  <c r="M16" i="6"/>
  <c r="K16" i="6"/>
  <c r="G16" i="6"/>
  <c r="F16" i="6"/>
  <c r="E16" i="6"/>
  <c r="D16" i="6"/>
  <c r="B16" i="6"/>
  <c r="A16" i="6"/>
  <c r="H16" i="6" s="1"/>
  <c r="M15" i="6"/>
  <c r="J15" i="6"/>
  <c r="H15" i="6"/>
  <c r="G15" i="6"/>
  <c r="F15" i="6"/>
  <c r="E15" i="6"/>
  <c r="D15" i="6"/>
  <c r="B15" i="6"/>
  <c r="A15" i="6"/>
  <c r="K15" i="6" s="1"/>
  <c r="G14" i="6"/>
  <c r="B14" i="6"/>
  <c r="A14" i="6"/>
  <c r="M14" i="6" s="1"/>
  <c r="K13" i="6"/>
  <c r="C13" i="6"/>
  <c r="A13" i="6"/>
  <c r="M13" i="6" s="1"/>
  <c r="M12" i="6"/>
  <c r="G12" i="6"/>
  <c r="F12" i="6"/>
  <c r="E12" i="6"/>
  <c r="I12" i="6" s="1"/>
  <c r="D12" i="6"/>
  <c r="B12" i="6"/>
  <c r="A12" i="6"/>
  <c r="J12" i="6" s="1"/>
  <c r="L11" i="6"/>
  <c r="G11" i="6"/>
  <c r="F11" i="6"/>
  <c r="E11" i="6"/>
  <c r="I11" i="6" s="1"/>
  <c r="D11" i="6"/>
  <c r="A11" i="6"/>
  <c r="M11" i="6" s="1"/>
  <c r="G10" i="6"/>
  <c r="E10" i="6"/>
  <c r="A10" i="6"/>
  <c r="F9" i="6"/>
  <c r="A9" i="6"/>
  <c r="G9" i="6" s="1"/>
  <c r="G8" i="6"/>
  <c r="F8" i="6"/>
  <c r="A8" i="6"/>
  <c r="A7" i="6"/>
  <c r="E7" i="6" s="1"/>
  <c r="M55" i="5"/>
  <c r="L55" i="5"/>
  <c r="K55" i="5"/>
  <c r="I55" i="5"/>
  <c r="J55" i="5" s="1"/>
  <c r="H55" i="5"/>
  <c r="G55" i="5"/>
  <c r="F55" i="5"/>
  <c r="M54" i="5"/>
  <c r="L54" i="5"/>
  <c r="K54" i="5"/>
  <c r="I54" i="5"/>
  <c r="J54" i="5" s="1"/>
  <c r="H54" i="5"/>
  <c r="G54" i="5"/>
  <c r="F54" i="5"/>
  <c r="M53" i="5"/>
  <c r="L53" i="5"/>
  <c r="K53" i="5"/>
  <c r="I53" i="5"/>
  <c r="J53" i="5" s="1"/>
  <c r="H53" i="5"/>
  <c r="G53" i="5"/>
  <c r="F53" i="5"/>
  <c r="M52" i="5"/>
  <c r="L52" i="5"/>
  <c r="K52" i="5"/>
  <c r="J52" i="5"/>
  <c r="I52" i="5"/>
  <c r="H52" i="5"/>
  <c r="G52" i="5"/>
  <c r="F52" i="5"/>
  <c r="M51" i="5"/>
  <c r="L51" i="5"/>
  <c r="K51" i="5"/>
  <c r="I51" i="5"/>
  <c r="J51" i="5" s="1"/>
  <c r="H51" i="5"/>
  <c r="G51" i="5"/>
  <c r="F51" i="5"/>
  <c r="M50" i="5"/>
  <c r="L50" i="5"/>
  <c r="K50" i="5"/>
  <c r="I50" i="5"/>
  <c r="J50" i="5" s="1"/>
  <c r="H50" i="5"/>
  <c r="G50" i="5"/>
  <c r="F50" i="5"/>
  <c r="M49" i="5"/>
  <c r="L49" i="5"/>
  <c r="K49" i="5"/>
  <c r="I49" i="5"/>
  <c r="J49" i="5" s="1"/>
  <c r="H49" i="5"/>
  <c r="G49" i="5"/>
  <c r="F49" i="5"/>
  <c r="M48" i="5"/>
  <c r="L48" i="5"/>
  <c r="K48" i="5"/>
  <c r="I48" i="5"/>
  <c r="J48" i="5" s="1"/>
  <c r="H48" i="5"/>
  <c r="G48" i="5"/>
  <c r="F48" i="5"/>
  <c r="M47" i="5"/>
  <c r="L47" i="5"/>
  <c r="K47" i="5"/>
  <c r="I47" i="5"/>
  <c r="J47" i="5" s="1"/>
  <c r="H47" i="5"/>
  <c r="G47" i="5"/>
  <c r="F47" i="5"/>
  <c r="M46" i="5"/>
  <c r="L46" i="5"/>
  <c r="K46" i="5"/>
  <c r="I46" i="5"/>
  <c r="J46" i="5" s="1"/>
  <c r="H46" i="5"/>
  <c r="G46" i="5"/>
  <c r="F46" i="5"/>
  <c r="M45" i="5"/>
  <c r="L45" i="5"/>
  <c r="K45" i="5"/>
  <c r="I45" i="5"/>
  <c r="J45" i="5" s="1"/>
  <c r="H45" i="5"/>
  <c r="G45" i="5"/>
  <c r="F45" i="5"/>
  <c r="M44" i="5"/>
  <c r="L44" i="5"/>
  <c r="K44" i="5"/>
  <c r="I44" i="5"/>
  <c r="J44" i="5" s="1"/>
  <c r="H44" i="5"/>
  <c r="G44" i="5"/>
  <c r="F44" i="5"/>
  <c r="M43" i="5"/>
  <c r="L43" i="5"/>
  <c r="K43" i="5"/>
  <c r="I43" i="5"/>
  <c r="J43" i="5" s="1"/>
  <c r="H43" i="5"/>
  <c r="G43" i="5"/>
  <c r="F43" i="5"/>
  <c r="M42" i="5"/>
  <c r="L42" i="5"/>
  <c r="K42" i="5"/>
  <c r="I42" i="5"/>
  <c r="J42" i="5" s="1"/>
  <c r="H42" i="5"/>
  <c r="G42" i="5"/>
  <c r="F42" i="5"/>
  <c r="M41" i="5"/>
  <c r="L41" i="5"/>
  <c r="K41" i="5"/>
  <c r="I41" i="5"/>
  <c r="J41" i="5" s="1"/>
  <c r="H41" i="5"/>
  <c r="G41" i="5"/>
  <c r="F41" i="5"/>
  <c r="M40" i="5"/>
  <c r="L40" i="5"/>
  <c r="K40" i="5"/>
  <c r="I40" i="5"/>
  <c r="J40" i="5" s="1"/>
  <c r="H40" i="5"/>
  <c r="G40" i="5"/>
  <c r="F40" i="5"/>
  <c r="M39" i="5"/>
  <c r="L39" i="5"/>
  <c r="K39" i="5"/>
  <c r="I39" i="5"/>
  <c r="J39" i="5" s="1"/>
  <c r="H39" i="5"/>
  <c r="G39" i="5"/>
  <c r="F39" i="5"/>
  <c r="M38" i="5"/>
  <c r="L38" i="5"/>
  <c r="K38" i="5"/>
  <c r="I38" i="5"/>
  <c r="J38" i="5" s="1"/>
  <c r="H38" i="5"/>
  <c r="G38" i="5"/>
  <c r="F38" i="5"/>
  <c r="M37" i="5"/>
  <c r="L37" i="5"/>
  <c r="K37" i="5"/>
  <c r="J37" i="5"/>
  <c r="I37" i="5"/>
  <c r="H37" i="5"/>
  <c r="G37" i="5"/>
  <c r="F37" i="5"/>
  <c r="M36" i="5"/>
  <c r="L36" i="5"/>
  <c r="K36" i="5"/>
  <c r="I36" i="5"/>
  <c r="J36" i="5" s="1"/>
  <c r="H36" i="5"/>
  <c r="G36" i="5"/>
  <c r="F36" i="5"/>
  <c r="M35" i="5"/>
  <c r="L35" i="5"/>
  <c r="K35" i="5"/>
  <c r="I35" i="5"/>
  <c r="J35" i="5" s="1"/>
  <c r="H35" i="5"/>
  <c r="G35" i="5"/>
  <c r="F35" i="5"/>
  <c r="M34" i="5"/>
  <c r="L34" i="5"/>
  <c r="K34" i="5"/>
  <c r="I34" i="5"/>
  <c r="J34" i="5" s="1"/>
  <c r="H34" i="5"/>
  <c r="G34" i="5"/>
  <c r="F34" i="5"/>
  <c r="M33" i="5"/>
  <c r="L33" i="5"/>
  <c r="K33" i="5"/>
  <c r="I33" i="5"/>
  <c r="J33" i="5" s="1"/>
  <c r="H33" i="5"/>
  <c r="G33" i="5"/>
  <c r="F33" i="5"/>
  <c r="M32" i="5"/>
  <c r="L32" i="5"/>
  <c r="K32" i="5"/>
  <c r="I32" i="5"/>
  <c r="J32" i="5" s="1"/>
  <c r="H32" i="5"/>
  <c r="G32" i="5"/>
  <c r="F32" i="5"/>
  <c r="M31" i="5"/>
  <c r="L31" i="5"/>
  <c r="K31" i="5"/>
  <c r="I31" i="5"/>
  <c r="J31" i="5" s="1"/>
  <c r="H31" i="5"/>
  <c r="G31" i="5"/>
  <c r="F31" i="5"/>
  <c r="M30" i="5"/>
  <c r="L30" i="5"/>
  <c r="K30" i="5"/>
  <c r="I30" i="5"/>
  <c r="J30" i="5" s="1"/>
  <c r="H30" i="5"/>
  <c r="G30" i="5"/>
  <c r="F30" i="5"/>
  <c r="M29" i="5"/>
  <c r="L29" i="5"/>
  <c r="K29" i="5"/>
  <c r="I29" i="5"/>
  <c r="J29" i="5" s="1"/>
  <c r="H29" i="5"/>
  <c r="G29" i="5"/>
  <c r="F29" i="5"/>
  <c r="M28" i="5"/>
  <c r="L28" i="5"/>
  <c r="K28" i="5"/>
  <c r="I28" i="5"/>
  <c r="J28" i="5" s="1"/>
  <c r="H28" i="5"/>
  <c r="G28" i="5"/>
  <c r="F28" i="5"/>
  <c r="M27" i="5"/>
  <c r="L27" i="5"/>
  <c r="K27" i="5"/>
  <c r="I27" i="5"/>
  <c r="J27" i="5" s="1"/>
  <c r="H27" i="5"/>
  <c r="G27" i="5"/>
  <c r="F27" i="5"/>
  <c r="M26" i="5"/>
  <c r="L26" i="5"/>
  <c r="K26" i="5"/>
  <c r="I26" i="5"/>
  <c r="J26" i="5" s="1"/>
  <c r="H26" i="5"/>
  <c r="G26" i="5"/>
  <c r="F26" i="5"/>
  <c r="M25" i="5"/>
  <c r="L25" i="5"/>
  <c r="K25" i="5"/>
  <c r="I25" i="5"/>
  <c r="J25" i="5" s="1"/>
  <c r="H25" i="5"/>
  <c r="G25" i="5"/>
  <c r="F25" i="5"/>
  <c r="M24" i="5"/>
  <c r="L24" i="5"/>
  <c r="K24" i="5"/>
  <c r="J24" i="5"/>
  <c r="I24" i="5"/>
  <c r="H24" i="5"/>
  <c r="G24" i="5"/>
  <c r="F24" i="5"/>
  <c r="M23" i="5"/>
  <c r="L23" i="5"/>
  <c r="K23" i="5"/>
  <c r="I23" i="5"/>
  <c r="J23" i="5" s="1"/>
  <c r="H23" i="5"/>
  <c r="G23" i="5"/>
  <c r="F23" i="5"/>
  <c r="M22" i="5"/>
  <c r="L22" i="5"/>
  <c r="K22" i="5"/>
  <c r="I22" i="5"/>
  <c r="J22" i="5" s="1"/>
  <c r="H22" i="5"/>
  <c r="G22" i="5"/>
  <c r="F22" i="5"/>
  <c r="M21" i="5"/>
  <c r="L21" i="5"/>
  <c r="K21" i="5"/>
  <c r="I21" i="5"/>
  <c r="J21" i="5" s="1"/>
  <c r="H21" i="5"/>
  <c r="G21" i="5"/>
  <c r="F21" i="5"/>
  <c r="M20" i="5"/>
  <c r="L20" i="5"/>
  <c r="K20" i="5"/>
  <c r="I20" i="5"/>
  <c r="J20" i="5" s="1"/>
  <c r="H20" i="5"/>
  <c r="G20" i="5"/>
  <c r="F20" i="5"/>
  <c r="M19" i="5"/>
  <c r="L19" i="5"/>
  <c r="K19" i="5"/>
  <c r="I19" i="5"/>
  <c r="J19" i="5" s="1"/>
  <c r="H19" i="5"/>
  <c r="G19" i="5"/>
  <c r="F19" i="5"/>
  <c r="M18" i="5"/>
  <c r="L18" i="5"/>
  <c r="K18" i="5"/>
  <c r="I18" i="5"/>
  <c r="J18" i="5" s="1"/>
  <c r="H18" i="5"/>
  <c r="G18" i="5"/>
  <c r="F18" i="5"/>
  <c r="M17" i="5"/>
  <c r="L17" i="5"/>
  <c r="K17" i="5"/>
  <c r="I17" i="5"/>
  <c r="J17" i="5" s="1"/>
  <c r="H17" i="5"/>
  <c r="G17" i="5"/>
  <c r="F17" i="5"/>
  <c r="M16" i="5"/>
  <c r="L16" i="5"/>
  <c r="K16" i="5"/>
  <c r="I16" i="5"/>
  <c r="J16" i="5" s="1"/>
  <c r="H16" i="5"/>
  <c r="G16" i="5"/>
  <c r="F16" i="5"/>
  <c r="M15" i="5"/>
  <c r="L15" i="5"/>
  <c r="K15" i="5"/>
  <c r="I15" i="5"/>
  <c r="J15" i="5" s="1"/>
  <c r="H15" i="5"/>
  <c r="G15" i="5"/>
  <c r="F15" i="5"/>
  <c r="M14" i="5"/>
  <c r="L14" i="5"/>
  <c r="K14" i="5"/>
  <c r="I14" i="5"/>
  <c r="J14" i="5" s="1"/>
  <c r="H14" i="5"/>
  <c r="G14" i="5"/>
  <c r="F14" i="5"/>
  <c r="M13" i="5"/>
  <c r="L13" i="5"/>
  <c r="K13" i="5"/>
  <c r="I13" i="5"/>
  <c r="J13" i="5" s="1"/>
  <c r="H13" i="5"/>
  <c r="G13" i="5"/>
  <c r="F13" i="5"/>
  <c r="M12" i="5"/>
  <c r="L12" i="5"/>
  <c r="K12" i="5"/>
  <c r="J12" i="5"/>
  <c r="I12" i="5"/>
  <c r="H12" i="5"/>
  <c r="G12" i="5"/>
  <c r="F12" i="5"/>
  <c r="M11" i="5"/>
  <c r="L11" i="5"/>
  <c r="K11" i="5"/>
  <c r="I11" i="5"/>
  <c r="J11" i="5" s="1"/>
  <c r="H11" i="5"/>
  <c r="G11" i="5"/>
  <c r="F11" i="5"/>
  <c r="L10" i="5"/>
  <c r="I10" i="5"/>
  <c r="L9" i="5"/>
  <c r="I9" i="5"/>
  <c r="L8" i="5"/>
  <c r="I8" i="5"/>
  <c r="L7" i="5"/>
  <c r="I7" i="5"/>
  <c r="L6" i="5"/>
  <c r="I6" i="5"/>
  <c r="L1005" i="4"/>
  <c r="K1005" i="4"/>
  <c r="J1005" i="4"/>
  <c r="I1005" i="4"/>
  <c r="M1005" i="4" s="1"/>
  <c r="L1004" i="4"/>
  <c r="K1004" i="4"/>
  <c r="J1004" i="4"/>
  <c r="I1004" i="4"/>
  <c r="M1004" i="4" s="1"/>
  <c r="L1003" i="4"/>
  <c r="K1003" i="4"/>
  <c r="J1003" i="4"/>
  <c r="I1003" i="4"/>
  <c r="M1003" i="4" s="1"/>
  <c r="L1002" i="4"/>
  <c r="K1002" i="4"/>
  <c r="J1002" i="4"/>
  <c r="I1002" i="4"/>
  <c r="M1002" i="4" s="1"/>
  <c r="L1001" i="4"/>
  <c r="K1001" i="4"/>
  <c r="J1001" i="4"/>
  <c r="I1001" i="4"/>
  <c r="M1001" i="4" s="1"/>
  <c r="L1000" i="4"/>
  <c r="K1000" i="4"/>
  <c r="J1000" i="4"/>
  <c r="I1000" i="4"/>
  <c r="M1000" i="4" s="1"/>
  <c r="M999" i="4"/>
  <c r="L999" i="4"/>
  <c r="K999" i="4"/>
  <c r="J999" i="4"/>
  <c r="I999" i="4"/>
  <c r="L998" i="4"/>
  <c r="K998" i="4"/>
  <c r="J998" i="4"/>
  <c r="I998" i="4"/>
  <c r="M998" i="4" s="1"/>
  <c r="L997" i="4"/>
  <c r="K997" i="4"/>
  <c r="J997" i="4"/>
  <c r="I997" i="4"/>
  <c r="M997" i="4" s="1"/>
  <c r="L996" i="4"/>
  <c r="K996" i="4"/>
  <c r="J996" i="4"/>
  <c r="I996" i="4"/>
  <c r="M996" i="4" s="1"/>
  <c r="L995" i="4"/>
  <c r="K995" i="4"/>
  <c r="J995" i="4"/>
  <c r="I995" i="4"/>
  <c r="M995" i="4" s="1"/>
  <c r="L994" i="4"/>
  <c r="K994" i="4"/>
  <c r="J994" i="4"/>
  <c r="I994" i="4"/>
  <c r="M994" i="4" s="1"/>
  <c r="L993" i="4"/>
  <c r="K993" i="4"/>
  <c r="J993" i="4"/>
  <c r="I993" i="4"/>
  <c r="M993" i="4" s="1"/>
  <c r="L992" i="4"/>
  <c r="K992" i="4"/>
  <c r="J992" i="4"/>
  <c r="I992" i="4"/>
  <c r="M992" i="4" s="1"/>
  <c r="L991" i="4"/>
  <c r="K991" i="4"/>
  <c r="J991" i="4"/>
  <c r="I991" i="4"/>
  <c r="M991" i="4" s="1"/>
  <c r="L990" i="4"/>
  <c r="K990" i="4"/>
  <c r="J990" i="4"/>
  <c r="I990" i="4"/>
  <c r="M990" i="4" s="1"/>
  <c r="L989" i="4"/>
  <c r="K989" i="4"/>
  <c r="J989" i="4"/>
  <c r="I989" i="4"/>
  <c r="M989" i="4" s="1"/>
  <c r="L988" i="4"/>
  <c r="K988" i="4"/>
  <c r="J988" i="4"/>
  <c r="I988" i="4"/>
  <c r="M988" i="4" s="1"/>
  <c r="L987" i="4"/>
  <c r="K987" i="4"/>
  <c r="J987" i="4"/>
  <c r="I987" i="4"/>
  <c r="M987" i="4" s="1"/>
  <c r="L986" i="4"/>
  <c r="K986" i="4"/>
  <c r="J986" i="4"/>
  <c r="I986" i="4"/>
  <c r="M986" i="4" s="1"/>
  <c r="M985" i="4"/>
  <c r="L985" i="4"/>
  <c r="K985" i="4"/>
  <c r="J985" i="4"/>
  <c r="I985" i="4"/>
  <c r="L984" i="4"/>
  <c r="K984" i="4"/>
  <c r="J984" i="4"/>
  <c r="I984" i="4"/>
  <c r="M984" i="4" s="1"/>
  <c r="M983" i="4"/>
  <c r="L983" i="4"/>
  <c r="K983" i="4"/>
  <c r="J983" i="4"/>
  <c r="I983" i="4"/>
  <c r="L982" i="4"/>
  <c r="K982" i="4"/>
  <c r="J982" i="4"/>
  <c r="I982" i="4"/>
  <c r="M982" i="4" s="1"/>
  <c r="L981" i="4"/>
  <c r="K981" i="4"/>
  <c r="J981" i="4"/>
  <c r="I981" i="4"/>
  <c r="M981" i="4" s="1"/>
  <c r="L980" i="4"/>
  <c r="K980" i="4"/>
  <c r="J980" i="4"/>
  <c r="I980" i="4"/>
  <c r="M980" i="4" s="1"/>
  <c r="M979" i="4"/>
  <c r="L979" i="4"/>
  <c r="K979" i="4"/>
  <c r="J979" i="4"/>
  <c r="I979" i="4"/>
  <c r="L978" i="4"/>
  <c r="K978" i="4"/>
  <c r="J978" i="4"/>
  <c r="I978" i="4"/>
  <c r="M978" i="4" s="1"/>
  <c r="L977" i="4"/>
  <c r="K977" i="4"/>
  <c r="J977" i="4"/>
  <c r="I977" i="4"/>
  <c r="M977" i="4" s="1"/>
  <c r="L976" i="4"/>
  <c r="K976" i="4"/>
  <c r="J976" i="4"/>
  <c r="I976" i="4"/>
  <c r="M976" i="4" s="1"/>
  <c r="L975" i="4"/>
  <c r="K975" i="4"/>
  <c r="J975" i="4"/>
  <c r="I975" i="4"/>
  <c r="M975" i="4" s="1"/>
  <c r="L974" i="4"/>
  <c r="K974" i="4"/>
  <c r="J974" i="4"/>
  <c r="I974" i="4"/>
  <c r="M974" i="4" s="1"/>
  <c r="L973" i="4"/>
  <c r="K973" i="4"/>
  <c r="J973" i="4"/>
  <c r="I973" i="4"/>
  <c r="M973" i="4" s="1"/>
  <c r="L972" i="4"/>
  <c r="K972" i="4"/>
  <c r="J972" i="4"/>
  <c r="I972" i="4"/>
  <c r="M972" i="4" s="1"/>
  <c r="L971" i="4"/>
  <c r="K971" i="4"/>
  <c r="J971" i="4"/>
  <c r="I971" i="4"/>
  <c r="M971" i="4" s="1"/>
  <c r="L970" i="4"/>
  <c r="K970" i="4"/>
  <c r="J970" i="4"/>
  <c r="I970" i="4"/>
  <c r="M970" i="4" s="1"/>
  <c r="L969" i="4"/>
  <c r="K969" i="4"/>
  <c r="J969" i="4"/>
  <c r="I969" i="4"/>
  <c r="M969" i="4" s="1"/>
  <c r="L968" i="4"/>
  <c r="K968" i="4"/>
  <c r="J968" i="4"/>
  <c r="I968" i="4"/>
  <c r="M968" i="4" s="1"/>
  <c r="L967" i="4"/>
  <c r="K967" i="4"/>
  <c r="J967" i="4"/>
  <c r="I967" i="4"/>
  <c r="M967" i="4" s="1"/>
  <c r="L966" i="4"/>
  <c r="K966" i="4"/>
  <c r="J966" i="4"/>
  <c r="I966" i="4"/>
  <c r="M966" i="4" s="1"/>
  <c r="L965" i="4"/>
  <c r="K965" i="4"/>
  <c r="J965" i="4"/>
  <c r="I965" i="4"/>
  <c r="M965" i="4" s="1"/>
  <c r="L964" i="4"/>
  <c r="K964" i="4"/>
  <c r="J964" i="4"/>
  <c r="I964" i="4"/>
  <c r="M964" i="4" s="1"/>
  <c r="L963" i="4"/>
  <c r="K963" i="4"/>
  <c r="J963" i="4"/>
  <c r="I963" i="4"/>
  <c r="M963" i="4" s="1"/>
  <c r="L962" i="4"/>
  <c r="K962" i="4"/>
  <c r="J962" i="4"/>
  <c r="I962" i="4"/>
  <c r="M962" i="4" s="1"/>
  <c r="M961" i="4"/>
  <c r="L961" i="4"/>
  <c r="K961" i="4"/>
  <c r="J961" i="4"/>
  <c r="I961" i="4"/>
  <c r="L960" i="4"/>
  <c r="K960" i="4"/>
  <c r="J960" i="4"/>
  <c r="I960" i="4"/>
  <c r="M960" i="4" s="1"/>
  <c r="M959" i="4"/>
  <c r="L959" i="4"/>
  <c r="K959" i="4"/>
  <c r="J959" i="4"/>
  <c r="I959" i="4"/>
  <c r="L958" i="4"/>
  <c r="K958" i="4"/>
  <c r="J958" i="4"/>
  <c r="I958" i="4"/>
  <c r="M958" i="4" s="1"/>
  <c r="L957" i="4"/>
  <c r="K957" i="4"/>
  <c r="J957" i="4"/>
  <c r="I957" i="4"/>
  <c r="M957" i="4" s="1"/>
  <c r="L956" i="4"/>
  <c r="K956" i="4"/>
  <c r="J956" i="4"/>
  <c r="I956" i="4"/>
  <c r="M956" i="4" s="1"/>
  <c r="L955" i="4"/>
  <c r="K955" i="4"/>
  <c r="J955" i="4"/>
  <c r="I955" i="4"/>
  <c r="M955" i="4" s="1"/>
  <c r="L954" i="4"/>
  <c r="K954" i="4"/>
  <c r="J954" i="4"/>
  <c r="I954" i="4"/>
  <c r="M954" i="4" s="1"/>
  <c r="L953" i="4"/>
  <c r="K953" i="4"/>
  <c r="J953" i="4"/>
  <c r="I953" i="4"/>
  <c r="M953" i="4" s="1"/>
  <c r="L952" i="4"/>
  <c r="K952" i="4"/>
  <c r="J952" i="4"/>
  <c r="I952" i="4"/>
  <c r="M952" i="4" s="1"/>
  <c r="M951" i="4"/>
  <c r="L951" i="4"/>
  <c r="K951" i="4"/>
  <c r="J951" i="4"/>
  <c r="I951" i="4"/>
  <c r="L950" i="4"/>
  <c r="K950" i="4"/>
  <c r="J950" i="4"/>
  <c r="I950" i="4"/>
  <c r="M950" i="4" s="1"/>
  <c r="L949" i="4"/>
  <c r="K949" i="4"/>
  <c r="J949" i="4"/>
  <c r="I949" i="4"/>
  <c r="M949" i="4" s="1"/>
  <c r="L948" i="4"/>
  <c r="K948" i="4"/>
  <c r="J948" i="4"/>
  <c r="I948" i="4"/>
  <c r="M948" i="4" s="1"/>
  <c r="L947" i="4"/>
  <c r="K947" i="4"/>
  <c r="J947" i="4"/>
  <c r="I947" i="4"/>
  <c r="M947" i="4" s="1"/>
  <c r="L946" i="4"/>
  <c r="K946" i="4"/>
  <c r="J946" i="4"/>
  <c r="I946" i="4"/>
  <c r="M946" i="4" s="1"/>
  <c r="M945" i="4"/>
  <c r="L945" i="4"/>
  <c r="K945" i="4"/>
  <c r="J945" i="4"/>
  <c r="I945" i="4"/>
  <c r="L944" i="4"/>
  <c r="K944" i="4"/>
  <c r="J944" i="4"/>
  <c r="I944" i="4"/>
  <c r="M944" i="4" s="1"/>
  <c r="L943" i="4"/>
  <c r="K943" i="4"/>
  <c r="J943" i="4"/>
  <c r="I943" i="4"/>
  <c r="M943" i="4" s="1"/>
  <c r="L942" i="4"/>
  <c r="K942" i="4"/>
  <c r="J942" i="4"/>
  <c r="I942" i="4"/>
  <c r="M942" i="4" s="1"/>
  <c r="L941" i="4"/>
  <c r="K941" i="4"/>
  <c r="J941" i="4"/>
  <c r="I941" i="4"/>
  <c r="M941" i="4" s="1"/>
  <c r="L940" i="4"/>
  <c r="K940" i="4"/>
  <c r="J940" i="4"/>
  <c r="I940" i="4"/>
  <c r="M940" i="4" s="1"/>
  <c r="L939" i="4"/>
  <c r="K939" i="4"/>
  <c r="J939" i="4"/>
  <c r="I939" i="4"/>
  <c r="M939" i="4" s="1"/>
  <c r="L938" i="4"/>
  <c r="K938" i="4"/>
  <c r="J938" i="4"/>
  <c r="I938" i="4"/>
  <c r="M938" i="4" s="1"/>
  <c r="L937" i="4"/>
  <c r="K937" i="4"/>
  <c r="J937" i="4"/>
  <c r="I937" i="4"/>
  <c r="M937" i="4" s="1"/>
  <c r="L936" i="4"/>
  <c r="K936" i="4"/>
  <c r="J936" i="4"/>
  <c r="I936" i="4"/>
  <c r="M936" i="4" s="1"/>
  <c r="L935" i="4"/>
  <c r="K935" i="4"/>
  <c r="J935" i="4"/>
  <c r="I935" i="4"/>
  <c r="M935" i="4" s="1"/>
  <c r="L934" i="4"/>
  <c r="K934" i="4"/>
  <c r="J934" i="4"/>
  <c r="I934" i="4"/>
  <c r="M934" i="4" s="1"/>
  <c r="M933" i="4"/>
  <c r="L933" i="4"/>
  <c r="K933" i="4"/>
  <c r="J933" i="4"/>
  <c r="I933" i="4"/>
  <c r="L932" i="4"/>
  <c r="K932" i="4"/>
  <c r="J932" i="4"/>
  <c r="I932" i="4"/>
  <c r="M932" i="4" s="1"/>
  <c r="L931" i="4"/>
  <c r="K931" i="4"/>
  <c r="J931" i="4"/>
  <c r="I931" i="4"/>
  <c r="M931" i="4" s="1"/>
  <c r="L930" i="4"/>
  <c r="K930" i="4"/>
  <c r="J930" i="4"/>
  <c r="I930" i="4"/>
  <c r="M930" i="4" s="1"/>
  <c r="M929" i="4"/>
  <c r="L929" i="4"/>
  <c r="K929" i="4"/>
  <c r="J929" i="4"/>
  <c r="I929" i="4"/>
  <c r="L928" i="4"/>
  <c r="K928" i="4"/>
  <c r="J928" i="4"/>
  <c r="I928" i="4"/>
  <c r="M928" i="4" s="1"/>
  <c r="L927" i="4"/>
  <c r="K927" i="4"/>
  <c r="J927" i="4"/>
  <c r="I927" i="4"/>
  <c r="M927" i="4" s="1"/>
  <c r="L926" i="4"/>
  <c r="K926" i="4"/>
  <c r="J926" i="4"/>
  <c r="I926" i="4"/>
  <c r="M926" i="4" s="1"/>
  <c r="L925" i="4"/>
  <c r="K925" i="4"/>
  <c r="J925" i="4"/>
  <c r="I925" i="4"/>
  <c r="M925" i="4" s="1"/>
  <c r="L924" i="4"/>
  <c r="K924" i="4"/>
  <c r="J924" i="4"/>
  <c r="I924" i="4"/>
  <c r="M924" i="4" s="1"/>
  <c r="L923" i="4"/>
  <c r="K923" i="4"/>
  <c r="J923" i="4"/>
  <c r="I923" i="4"/>
  <c r="M923" i="4" s="1"/>
  <c r="L922" i="4"/>
  <c r="K922" i="4"/>
  <c r="J922" i="4"/>
  <c r="I922" i="4"/>
  <c r="M922" i="4" s="1"/>
  <c r="L921" i="4"/>
  <c r="K921" i="4"/>
  <c r="J921" i="4"/>
  <c r="I921" i="4"/>
  <c r="M921" i="4" s="1"/>
  <c r="L920" i="4"/>
  <c r="K920" i="4"/>
  <c r="J920" i="4"/>
  <c r="I920" i="4"/>
  <c r="M920" i="4" s="1"/>
  <c r="M919" i="4"/>
  <c r="L919" i="4"/>
  <c r="K919" i="4"/>
  <c r="J919" i="4"/>
  <c r="I919" i="4"/>
  <c r="L918" i="4"/>
  <c r="K918" i="4"/>
  <c r="J918" i="4"/>
  <c r="I918" i="4"/>
  <c r="M918" i="4" s="1"/>
  <c r="M917" i="4"/>
  <c r="L917" i="4"/>
  <c r="K917" i="4"/>
  <c r="J917" i="4"/>
  <c r="I917" i="4"/>
  <c r="L916" i="4"/>
  <c r="K916" i="4"/>
  <c r="J916" i="4"/>
  <c r="I916" i="4"/>
  <c r="M916" i="4" s="1"/>
  <c r="L915" i="4"/>
  <c r="K915" i="4"/>
  <c r="J915" i="4"/>
  <c r="I915" i="4"/>
  <c r="M915" i="4" s="1"/>
  <c r="L914" i="4"/>
  <c r="K914" i="4"/>
  <c r="J914" i="4"/>
  <c r="I914" i="4"/>
  <c r="M914" i="4" s="1"/>
  <c r="M913" i="4"/>
  <c r="L913" i="4"/>
  <c r="K913" i="4"/>
  <c r="J913" i="4"/>
  <c r="I913" i="4"/>
  <c r="L912" i="4"/>
  <c r="K912" i="4"/>
  <c r="J912" i="4"/>
  <c r="I912" i="4"/>
  <c r="M912" i="4" s="1"/>
  <c r="L911" i="4"/>
  <c r="K911" i="4"/>
  <c r="J911" i="4"/>
  <c r="I911" i="4"/>
  <c r="M911" i="4" s="1"/>
  <c r="L910" i="4"/>
  <c r="K910" i="4"/>
  <c r="J910" i="4"/>
  <c r="I910" i="4"/>
  <c r="M910" i="4" s="1"/>
  <c r="L909" i="4"/>
  <c r="K909" i="4"/>
  <c r="J909" i="4"/>
  <c r="I909" i="4"/>
  <c r="M909" i="4" s="1"/>
  <c r="L908" i="4"/>
  <c r="K908" i="4"/>
  <c r="J908" i="4"/>
  <c r="I908" i="4"/>
  <c r="M908" i="4" s="1"/>
  <c r="L907" i="4"/>
  <c r="K907" i="4"/>
  <c r="J907" i="4"/>
  <c r="I907" i="4"/>
  <c r="M907" i="4" s="1"/>
  <c r="L906" i="4"/>
  <c r="K906" i="4"/>
  <c r="J906" i="4"/>
  <c r="I906" i="4"/>
  <c r="M906" i="4" s="1"/>
  <c r="L905" i="4"/>
  <c r="K905" i="4"/>
  <c r="J905" i="4"/>
  <c r="I905" i="4"/>
  <c r="M905" i="4" s="1"/>
  <c r="L904" i="4"/>
  <c r="K904" i="4"/>
  <c r="J904" i="4"/>
  <c r="I904" i="4"/>
  <c r="M904" i="4" s="1"/>
  <c r="L903" i="4"/>
  <c r="K903" i="4"/>
  <c r="J903" i="4"/>
  <c r="I903" i="4"/>
  <c r="M903" i="4" s="1"/>
  <c r="L902" i="4"/>
  <c r="K902" i="4"/>
  <c r="J902" i="4"/>
  <c r="I902" i="4"/>
  <c r="M902" i="4" s="1"/>
  <c r="M901" i="4"/>
  <c r="L901" i="4"/>
  <c r="K901" i="4"/>
  <c r="J901" i="4"/>
  <c r="I901" i="4"/>
  <c r="L900" i="4"/>
  <c r="K900" i="4"/>
  <c r="J900" i="4"/>
  <c r="I900" i="4"/>
  <c r="M900" i="4" s="1"/>
  <c r="L899" i="4"/>
  <c r="K899" i="4"/>
  <c r="J899" i="4"/>
  <c r="I899" i="4"/>
  <c r="M899" i="4" s="1"/>
  <c r="L898" i="4"/>
  <c r="K898" i="4"/>
  <c r="J898" i="4"/>
  <c r="I898" i="4"/>
  <c r="M898" i="4" s="1"/>
  <c r="L897" i="4"/>
  <c r="K897" i="4"/>
  <c r="J897" i="4"/>
  <c r="I897" i="4"/>
  <c r="M897" i="4" s="1"/>
  <c r="L896" i="4"/>
  <c r="K896" i="4"/>
  <c r="J896" i="4"/>
  <c r="I896" i="4"/>
  <c r="M896" i="4" s="1"/>
  <c r="L895" i="4"/>
  <c r="K895" i="4"/>
  <c r="J895" i="4"/>
  <c r="I895" i="4"/>
  <c r="M895" i="4" s="1"/>
  <c r="L894" i="4"/>
  <c r="K894" i="4"/>
  <c r="J894" i="4"/>
  <c r="I894" i="4"/>
  <c r="M894" i="4" s="1"/>
  <c r="L893" i="4"/>
  <c r="K893" i="4"/>
  <c r="J893" i="4"/>
  <c r="I893" i="4"/>
  <c r="M893" i="4" s="1"/>
  <c r="L892" i="4"/>
  <c r="K892" i="4"/>
  <c r="J892" i="4"/>
  <c r="I892" i="4"/>
  <c r="M892" i="4" s="1"/>
  <c r="L891" i="4"/>
  <c r="K891" i="4"/>
  <c r="J891" i="4"/>
  <c r="I891" i="4"/>
  <c r="M891" i="4" s="1"/>
  <c r="L890" i="4"/>
  <c r="K890" i="4"/>
  <c r="J890" i="4"/>
  <c r="I890" i="4"/>
  <c r="M890" i="4" s="1"/>
  <c r="L889" i="4"/>
  <c r="K889" i="4"/>
  <c r="J889" i="4"/>
  <c r="I889" i="4"/>
  <c r="M889" i="4" s="1"/>
  <c r="L888" i="4"/>
  <c r="K888" i="4"/>
  <c r="J888" i="4"/>
  <c r="I888" i="4"/>
  <c r="M888" i="4" s="1"/>
  <c r="L887" i="4"/>
  <c r="K887" i="4"/>
  <c r="J887" i="4"/>
  <c r="I887" i="4"/>
  <c r="M887" i="4" s="1"/>
  <c r="L886" i="4"/>
  <c r="K886" i="4"/>
  <c r="J886" i="4"/>
  <c r="I886" i="4"/>
  <c r="M886" i="4" s="1"/>
  <c r="M885" i="4"/>
  <c r="L885" i="4"/>
  <c r="K885" i="4"/>
  <c r="J885" i="4"/>
  <c r="I885" i="4"/>
  <c r="L884" i="4"/>
  <c r="K884" i="4"/>
  <c r="J884" i="4"/>
  <c r="I884" i="4"/>
  <c r="M884" i="4" s="1"/>
  <c r="M883" i="4"/>
  <c r="L883" i="4"/>
  <c r="K883" i="4"/>
  <c r="J883" i="4"/>
  <c r="I883" i="4"/>
  <c r="L882" i="4"/>
  <c r="K882" i="4"/>
  <c r="J882" i="4"/>
  <c r="I882" i="4"/>
  <c r="M882" i="4" s="1"/>
  <c r="L881" i="4"/>
  <c r="K881" i="4"/>
  <c r="J881" i="4"/>
  <c r="I881" i="4"/>
  <c r="M881" i="4" s="1"/>
  <c r="L880" i="4"/>
  <c r="K880" i="4"/>
  <c r="J880" i="4"/>
  <c r="I880" i="4"/>
  <c r="M880" i="4" s="1"/>
  <c r="L879" i="4"/>
  <c r="K879" i="4"/>
  <c r="J879" i="4"/>
  <c r="I879" i="4"/>
  <c r="M879" i="4" s="1"/>
  <c r="L878" i="4"/>
  <c r="K878" i="4"/>
  <c r="J878" i="4"/>
  <c r="I878" i="4"/>
  <c r="M878" i="4" s="1"/>
  <c r="L877" i="4"/>
  <c r="K877" i="4"/>
  <c r="J877" i="4"/>
  <c r="I877" i="4"/>
  <c r="M877" i="4" s="1"/>
  <c r="L876" i="4"/>
  <c r="K876" i="4"/>
  <c r="J876" i="4"/>
  <c r="I876" i="4"/>
  <c r="M876" i="4" s="1"/>
  <c r="L875" i="4"/>
  <c r="K875" i="4"/>
  <c r="J875" i="4"/>
  <c r="I875" i="4"/>
  <c r="M875" i="4" s="1"/>
  <c r="L874" i="4"/>
  <c r="K874" i="4"/>
  <c r="J874" i="4"/>
  <c r="I874" i="4"/>
  <c r="M874" i="4" s="1"/>
  <c r="L873" i="4"/>
  <c r="K873" i="4"/>
  <c r="J873" i="4"/>
  <c r="I873" i="4"/>
  <c r="M873" i="4" s="1"/>
  <c r="L872" i="4"/>
  <c r="K872" i="4"/>
  <c r="J872" i="4"/>
  <c r="I872" i="4"/>
  <c r="M872" i="4" s="1"/>
  <c r="L871" i="4"/>
  <c r="K871" i="4"/>
  <c r="J871" i="4"/>
  <c r="I871" i="4"/>
  <c r="M871" i="4" s="1"/>
  <c r="L870" i="4"/>
  <c r="K870" i="4"/>
  <c r="J870" i="4"/>
  <c r="I870" i="4"/>
  <c r="M870" i="4" s="1"/>
  <c r="L869" i="4"/>
  <c r="K869" i="4"/>
  <c r="J869" i="4"/>
  <c r="I869" i="4"/>
  <c r="M869" i="4" s="1"/>
  <c r="L868" i="4"/>
  <c r="K868" i="4"/>
  <c r="J868" i="4"/>
  <c r="I868" i="4"/>
  <c r="M868" i="4" s="1"/>
  <c r="L867" i="4"/>
  <c r="K867" i="4"/>
  <c r="J867" i="4"/>
  <c r="I867" i="4"/>
  <c r="M867" i="4" s="1"/>
  <c r="L866" i="4"/>
  <c r="K866" i="4"/>
  <c r="J866" i="4"/>
  <c r="I866" i="4"/>
  <c r="M866" i="4" s="1"/>
  <c r="L865" i="4"/>
  <c r="K865" i="4"/>
  <c r="J865" i="4"/>
  <c r="I865" i="4"/>
  <c r="M865" i="4" s="1"/>
  <c r="L864" i="4"/>
  <c r="K864" i="4"/>
  <c r="J864" i="4"/>
  <c r="I864" i="4"/>
  <c r="M864" i="4" s="1"/>
  <c r="M863" i="4"/>
  <c r="L863" i="4"/>
  <c r="K863" i="4"/>
  <c r="J863" i="4"/>
  <c r="I863" i="4"/>
  <c r="L862" i="4"/>
  <c r="K862" i="4"/>
  <c r="J862" i="4"/>
  <c r="I862" i="4"/>
  <c r="M862" i="4" s="1"/>
  <c r="M861" i="4"/>
  <c r="L861" i="4"/>
  <c r="K861" i="4"/>
  <c r="J861" i="4"/>
  <c r="I861" i="4"/>
  <c r="L860" i="4"/>
  <c r="K860" i="4"/>
  <c r="J860" i="4"/>
  <c r="I860" i="4"/>
  <c r="M860" i="4" s="1"/>
  <c r="M859" i="4"/>
  <c r="L859" i="4"/>
  <c r="K859" i="4"/>
  <c r="J859" i="4"/>
  <c r="I859" i="4"/>
  <c r="L858" i="4"/>
  <c r="K858" i="4"/>
  <c r="J858" i="4"/>
  <c r="I858" i="4"/>
  <c r="M858" i="4" s="1"/>
  <c r="L857" i="4"/>
  <c r="K857" i="4"/>
  <c r="J857" i="4"/>
  <c r="I857" i="4"/>
  <c r="M857" i="4" s="1"/>
  <c r="L856" i="4"/>
  <c r="K856" i="4"/>
  <c r="J856" i="4"/>
  <c r="I856" i="4"/>
  <c r="M856" i="4" s="1"/>
  <c r="L855" i="4"/>
  <c r="K855" i="4"/>
  <c r="J855" i="4"/>
  <c r="I855" i="4"/>
  <c r="M855" i="4" s="1"/>
  <c r="L854" i="4"/>
  <c r="K854" i="4"/>
  <c r="J854" i="4"/>
  <c r="I854" i="4"/>
  <c r="M854" i="4" s="1"/>
  <c r="L853" i="4"/>
  <c r="K853" i="4"/>
  <c r="J853" i="4"/>
  <c r="I853" i="4"/>
  <c r="M853" i="4" s="1"/>
  <c r="L852" i="4"/>
  <c r="K852" i="4"/>
  <c r="J852" i="4"/>
  <c r="I852" i="4"/>
  <c r="M852" i="4" s="1"/>
  <c r="L851" i="4"/>
  <c r="K851" i="4"/>
  <c r="J851" i="4"/>
  <c r="I851" i="4"/>
  <c r="M851" i="4" s="1"/>
  <c r="L850" i="4"/>
  <c r="K850" i="4"/>
  <c r="J850" i="4"/>
  <c r="I850" i="4"/>
  <c r="M850" i="4" s="1"/>
  <c r="M849" i="4"/>
  <c r="L849" i="4"/>
  <c r="K849" i="4"/>
  <c r="J849" i="4"/>
  <c r="I849" i="4"/>
  <c r="L848" i="4"/>
  <c r="K848" i="4"/>
  <c r="J848" i="4"/>
  <c r="I848" i="4"/>
  <c r="M848" i="4" s="1"/>
  <c r="L847" i="4"/>
  <c r="K847" i="4"/>
  <c r="J847" i="4"/>
  <c r="I847" i="4"/>
  <c r="M847" i="4" s="1"/>
  <c r="L846" i="4"/>
  <c r="K846" i="4"/>
  <c r="J846" i="4"/>
  <c r="I846" i="4"/>
  <c r="M846" i="4" s="1"/>
  <c r="M845" i="4"/>
  <c r="L845" i="4"/>
  <c r="K845" i="4"/>
  <c r="J845" i="4"/>
  <c r="I845" i="4"/>
  <c r="L844" i="4"/>
  <c r="K844" i="4"/>
  <c r="J844" i="4"/>
  <c r="I844" i="4"/>
  <c r="M844" i="4" s="1"/>
  <c r="L843" i="4"/>
  <c r="K843" i="4"/>
  <c r="J843" i="4"/>
  <c r="I843" i="4"/>
  <c r="M843" i="4" s="1"/>
  <c r="L842" i="4"/>
  <c r="K842" i="4"/>
  <c r="J842" i="4"/>
  <c r="I842" i="4"/>
  <c r="M842" i="4" s="1"/>
  <c r="L841" i="4"/>
  <c r="K841" i="4"/>
  <c r="J841" i="4"/>
  <c r="I841" i="4"/>
  <c r="M841" i="4" s="1"/>
  <c r="L840" i="4"/>
  <c r="K840" i="4"/>
  <c r="J840" i="4"/>
  <c r="I840" i="4"/>
  <c r="M840" i="4" s="1"/>
  <c r="M839" i="4"/>
  <c r="L839" i="4"/>
  <c r="K839" i="4"/>
  <c r="J839" i="4"/>
  <c r="I839" i="4"/>
  <c r="L838" i="4"/>
  <c r="K838" i="4"/>
  <c r="J838" i="4"/>
  <c r="I838" i="4"/>
  <c r="M838" i="4" s="1"/>
  <c r="L837" i="4"/>
  <c r="K837" i="4"/>
  <c r="J837" i="4"/>
  <c r="I837" i="4"/>
  <c r="M837" i="4" s="1"/>
  <c r="L836" i="4"/>
  <c r="K836" i="4"/>
  <c r="J836" i="4"/>
  <c r="I836" i="4"/>
  <c r="M836" i="4" s="1"/>
  <c r="L835" i="4"/>
  <c r="K835" i="4"/>
  <c r="J835" i="4"/>
  <c r="I835" i="4"/>
  <c r="M835" i="4" s="1"/>
  <c r="L834" i="4"/>
  <c r="K834" i="4"/>
  <c r="J834" i="4"/>
  <c r="I834" i="4"/>
  <c r="M834" i="4" s="1"/>
  <c r="M833" i="4"/>
  <c r="L833" i="4"/>
  <c r="K833" i="4"/>
  <c r="J833" i="4"/>
  <c r="I833" i="4"/>
  <c r="L832" i="4"/>
  <c r="K832" i="4"/>
  <c r="J832" i="4"/>
  <c r="I832" i="4"/>
  <c r="M832" i="4" s="1"/>
  <c r="L831" i="4"/>
  <c r="K831" i="4"/>
  <c r="J831" i="4"/>
  <c r="I831" i="4"/>
  <c r="M831" i="4" s="1"/>
  <c r="L830" i="4"/>
  <c r="K830" i="4"/>
  <c r="J830" i="4"/>
  <c r="I830" i="4"/>
  <c r="M830" i="4" s="1"/>
  <c r="L829" i="4"/>
  <c r="K829" i="4"/>
  <c r="J829" i="4"/>
  <c r="I829" i="4"/>
  <c r="M829" i="4" s="1"/>
  <c r="L828" i="4"/>
  <c r="K828" i="4"/>
  <c r="J828" i="4"/>
  <c r="I828" i="4"/>
  <c r="M828" i="4" s="1"/>
  <c r="L827" i="4"/>
  <c r="K827" i="4"/>
  <c r="J827" i="4"/>
  <c r="I827" i="4"/>
  <c r="M827" i="4" s="1"/>
  <c r="L826" i="4"/>
  <c r="K826" i="4"/>
  <c r="J826" i="4"/>
  <c r="I826" i="4"/>
  <c r="M826" i="4" s="1"/>
  <c r="L825" i="4"/>
  <c r="K825" i="4"/>
  <c r="J825" i="4"/>
  <c r="I825" i="4"/>
  <c r="M825" i="4" s="1"/>
  <c r="L824" i="4"/>
  <c r="K824" i="4"/>
  <c r="J824" i="4"/>
  <c r="I824" i="4"/>
  <c r="M824" i="4" s="1"/>
  <c r="L823" i="4"/>
  <c r="K823" i="4"/>
  <c r="J823" i="4"/>
  <c r="I823" i="4"/>
  <c r="M823" i="4" s="1"/>
  <c r="L822" i="4"/>
  <c r="K822" i="4"/>
  <c r="J822" i="4"/>
  <c r="I822" i="4"/>
  <c r="M822" i="4" s="1"/>
  <c r="L821" i="4"/>
  <c r="K821" i="4"/>
  <c r="J821" i="4"/>
  <c r="I821" i="4"/>
  <c r="M821" i="4" s="1"/>
  <c r="L820" i="4"/>
  <c r="K820" i="4"/>
  <c r="J820" i="4"/>
  <c r="I820" i="4"/>
  <c r="M820" i="4" s="1"/>
  <c r="M819" i="4"/>
  <c r="L819" i="4"/>
  <c r="K819" i="4"/>
  <c r="J819" i="4"/>
  <c r="I819" i="4"/>
  <c r="L818" i="4"/>
  <c r="K818" i="4"/>
  <c r="J818" i="4"/>
  <c r="I818" i="4"/>
  <c r="M818" i="4" s="1"/>
  <c r="L817" i="4"/>
  <c r="K817" i="4"/>
  <c r="J817" i="4"/>
  <c r="I817" i="4"/>
  <c r="M817" i="4" s="1"/>
  <c r="L816" i="4"/>
  <c r="K816" i="4"/>
  <c r="J816" i="4"/>
  <c r="I816" i="4"/>
  <c r="M816" i="4" s="1"/>
  <c r="L815" i="4"/>
  <c r="K815" i="4"/>
  <c r="J815" i="4"/>
  <c r="I815" i="4"/>
  <c r="M815" i="4" s="1"/>
  <c r="L814" i="4"/>
  <c r="K814" i="4"/>
  <c r="J814" i="4"/>
  <c r="I814" i="4"/>
  <c r="M814" i="4" s="1"/>
  <c r="L813" i="4"/>
  <c r="K813" i="4"/>
  <c r="J813" i="4"/>
  <c r="I813" i="4"/>
  <c r="M813" i="4" s="1"/>
  <c r="L812" i="4"/>
  <c r="K812" i="4"/>
  <c r="J812" i="4"/>
  <c r="I812" i="4"/>
  <c r="M812" i="4" s="1"/>
  <c r="L811" i="4"/>
  <c r="K811" i="4"/>
  <c r="J811" i="4"/>
  <c r="I811" i="4"/>
  <c r="M811" i="4" s="1"/>
  <c r="L810" i="4"/>
  <c r="K810" i="4"/>
  <c r="J810" i="4"/>
  <c r="I810" i="4"/>
  <c r="M810" i="4" s="1"/>
  <c r="L809" i="4"/>
  <c r="K809" i="4"/>
  <c r="J809" i="4"/>
  <c r="I809" i="4"/>
  <c r="M809" i="4" s="1"/>
  <c r="L808" i="4"/>
  <c r="K808" i="4"/>
  <c r="J808" i="4"/>
  <c r="I808" i="4"/>
  <c r="M808" i="4" s="1"/>
  <c r="L807" i="4"/>
  <c r="K807" i="4"/>
  <c r="J807" i="4"/>
  <c r="I807" i="4"/>
  <c r="M807" i="4" s="1"/>
  <c r="M806" i="4"/>
  <c r="L806" i="4"/>
  <c r="K806" i="4"/>
  <c r="J806" i="4"/>
  <c r="I806" i="4"/>
  <c r="L805" i="4"/>
  <c r="K805" i="4"/>
  <c r="J805" i="4"/>
  <c r="I805" i="4"/>
  <c r="M805" i="4" s="1"/>
  <c r="L804" i="4"/>
  <c r="K804" i="4"/>
  <c r="J804" i="4"/>
  <c r="I804" i="4"/>
  <c r="M804" i="4" s="1"/>
  <c r="L803" i="4"/>
  <c r="K803" i="4"/>
  <c r="J803" i="4"/>
  <c r="I803" i="4"/>
  <c r="M803" i="4" s="1"/>
  <c r="M802" i="4"/>
  <c r="L802" i="4"/>
  <c r="K802" i="4"/>
  <c r="J802" i="4"/>
  <c r="I802" i="4"/>
  <c r="L801" i="4"/>
  <c r="K801" i="4"/>
  <c r="J801" i="4"/>
  <c r="I801" i="4"/>
  <c r="M801" i="4" s="1"/>
  <c r="M800" i="4"/>
  <c r="L800" i="4"/>
  <c r="K800" i="4"/>
  <c r="J800" i="4"/>
  <c r="I800" i="4"/>
  <c r="L799" i="4"/>
  <c r="K799" i="4"/>
  <c r="J799" i="4"/>
  <c r="I799" i="4"/>
  <c r="M799" i="4" s="1"/>
  <c r="L798" i="4"/>
  <c r="K798" i="4"/>
  <c r="J798" i="4"/>
  <c r="I798" i="4"/>
  <c r="M798" i="4" s="1"/>
  <c r="L797" i="4"/>
  <c r="K797" i="4"/>
  <c r="J797" i="4"/>
  <c r="I797" i="4"/>
  <c r="M797" i="4" s="1"/>
  <c r="L796" i="4"/>
  <c r="K796" i="4"/>
  <c r="J796" i="4"/>
  <c r="I796" i="4"/>
  <c r="M796" i="4" s="1"/>
  <c r="L795" i="4"/>
  <c r="K795" i="4"/>
  <c r="J795" i="4"/>
  <c r="I795" i="4"/>
  <c r="M795" i="4" s="1"/>
  <c r="L794" i="4"/>
  <c r="K794" i="4"/>
  <c r="J794" i="4"/>
  <c r="I794" i="4"/>
  <c r="M794" i="4" s="1"/>
  <c r="L793" i="4"/>
  <c r="K793" i="4"/>
  <c r="J793" i="4"/>
  <c r="I793" i="4"/>
  <c r="M793" i="4" s="1"/>
  <c r="L792" i="4"/>
  <c r="K792" i="4"/>
  <c r="J792" i="4"/>
  <c r="I792" i="4"/>
  <c r="M792" i="4" s="1"/>
  <c r="L791" i="4"/>
  <c r="K791" i="4"/>
  <c r="J791" i="4"/>
  <c r="I791" i="4"/>
  <c r="M791" i="4" s="1"/>
  <c r="L790" i="4"/>
  <c r="K790" i="4"/>
  <c r="J790" i="4"/>
  <c r="I790" i="4"/>
  <c r="M790" i="4" s="1"/>
  <c r="L789" i="4"/>
  <c r="K789" i="4"/>
  <c r="J789" i="4"/>
  <c r="I789" i="4"/>
  <c r="M789" i="4" s="1"/>
  <c r="M788" i="4"/>
  <c r="L788" i="4"/>
  <c r="K788" i="4"/>
  <c r="J788" i="4"/>
  <c r="I788" i="4"/>
  <c r="L787" i="4"/>
  <c r="K787" i="4"/>
  <c r="J787" i="4"/>
  <c r="I787" i="4"/>
  <c r="M787" i="4" s="1"/>
  <c r="L786" i="4"/>
  <c r="K786" i="4"/>
  <c r="J786" i="4"/>
  <c r="I786" i="4"/>
  <c r="M786" i="4" s="1"/>
  <c r="L785" i="4"/>
  <c r="K785" i="4"/>
  <c r="J785" i="4"/>
  <c r="I785" i="4"/>
  <c r="M785" i="4" s="1"/>
  <c r="L784" i="4"/>
  <c r="K784" i="4"/>
  <c r="J784" i="4"/>
  <c r="I784" i="4"/>
  <c r="M784" i="4" s="1"/>
  <c r="L783" i="4"/>
  <c r="K783" i="4"/>
  <c r="J783" i="4"/>
  <c r="I783" i="4"/>
  <c r="M783" i="4" s="1"/>
  <c r="L782" i="4"/>
  <c r="K782" i="4"/>
  <c r="J782" i="4"/>
  <c r="I782" i="4"/>
  <c r="M782" i="4" s="1"/>
  <c r="L781" i="4"/>
  <c r="K781" i="4"/>
  <c r="J781" i="4"/>
  <c r="I781" i="4"/>
  <c r="M781" i="4" s="1"/>
  <c r="M780" i="4"/>
  <c r="L780" i="4"/>
  <c r="K780" i="4"/>
  <c r="J780" i="4"/>
  <c r="I780" i="4"/>
  <c r="L779" i="4"/>
  <c r="K779" i="4"/>
  <c r="J779" i="4"/>
  <c r="I779" i="4"/>
  <c r="M779" i="4" s="1"/>
  <c r="L778" i="4"/>
  <c r="K778" i="4"/>
  <c r="J778" i="4"/>
  <c r="I778" i="4"/>
  <c r="M778" i="4" s="1"/>
  <c r="L777" i="4"/>
  <c r="K777" i="4"/>
  <c r="J777" i="4"/>
  <c r="I777" i="4"/>
  <c r="M777" i="4" s="1"/>
  <c r="L776" i="4"/>
  <c r="K776" i="4"/>
  <c r="J776" i="4"/>
  <c r="I776" i="4"/>
  <c r="M776" i="4" s="1"/>
  <c r="L775" i="4"/>
  <c r="K775" i="4"/>
  <c r="J775" i="4"/>
  <c r="I775" i="4"/>
  <c r="M775" i="4" s="1"/>
  <c r="L774" i="4"/>
  <c r="K774" i="4"/>
  <c r="J774" i="4"/>
  <c r="I774" i="4"/>
  <c r="M774" i="4" s="1"/>
  <c r="L773" i="4"/>
  <c r="K773" i="4"/>
  <c r="J773" i="4"/>
  <c r="I773" i="4"/>
  <c r="M773" i="4" s="1"/>
  <c r="L772" i="4"/>
  <c r="K772" i="4"/>
  <c r="J772" i="4"/>
  <c r="I772" i="4"/>
  <c r="M772" i="4" s="1"/>
  <c r="L771" i="4"/>
  <c r="K771" i="4"/>
  <c r="J771" i="4"/>
  <c r="I771" i="4"/>
  <c r="M771" i="4" s="1"/>
  <c r="L770" i="4"/>
  <c r="K770" i="4"/>
  <c r="J770" i="4"/>
  <c r="I770" i="4"/>
  <c r="M770" i="4" s="1"/>
  <c r="L769" i="4"/>
  <c r="K769" i="4"/>
  <c r="J769" i="4"/>
  <c r="I769" i="4"/>
  <c r="M769" i="4" s="1"/>
  <c r="M768" i="4"/>
  <c r="L768" i="4"/>
  <c r="K768" i="4"/>
  <c r="J768" i="4"/>
  <c r="I768" i="4"/>
  <c r="L767" i="4"/>
  <c r="K767" i="4"/>
  <c r="J767" i="4"/>
  <c r="I767" i="4"/>
  <c r="M767" i="4" s="1"/>
  <c r="M766" i="4"/>
  <c r="L766" i="4"/>
  <c r="K766" i="4"/>
  <c r="J766" i="4"/>
  <c r="I766" i="4"/>
  <c r="L765" i="4"/>
  <c r="K765" i="4"/>
  <c r="J765" i="4"/>
  <c r="I765" i="4"/>
  <c r="M765" i="4" s="1"/>
  <c r="L764" i="4"/>
  <c r="K764" i="4"/>
  <c r="J764" i="4"/>
  <c r="I764" i="4"/>
  <c r="M764" i="4" s="1"/>
  <c r="L763" i="4"/>
  <c r="K763" i="4"/>
  <c r="J763" i="4"/>
  <c r="I763" i="4"/>
  <c r="M763" i="4" s="1"/>
  <c r="M762" i="4"/>
  <c r="L762" i="4"/>
  <c r="K762" i="4"/>
  <c r="J762" i="4"/>
  <c r="I762" i="4"/>
  <c r="L761" i="4"/>
  <c r="K761" i="4"/>
  <c r="J761" i="4"/>
  <c r="I761" i="4"/>
  <c r="M761" i="4" s="1"/>
  <c r="L760" i="4"/>
  <c r="K760" i="4"/>
  <c r="J760" i="4"/>
  <c r="I760" i="4"/>
  <c r="M760" i="4" s="1"/>
  <c r="L759" i="4"/>
  <c r="K759" i="4"/>
  <c r="J759" i="4"/>
  <c r="I759" i="4"/>
  <c r="M759" i="4" s="1"/>
  <c r="L758" i="4"/>
  <c r="K758" i="4"/>
  <c r="J758" i="4"/>
  <c r="I758" i="4"/>
  <c r="M758" i="4" s="1"/>
  <c r="L757" i="4"/>
  <c r="K757" i="4"/>
  <c r="J757" i="4"/>
  <c r="I757" i="4"/>
  <c r="M757" i="4" s="1"/>
  <c r="L756" i="4"/>
  <c r="K756" i="4"/>
  <c r="J756" i="4"/>
  <c r="I756" i="4"/>
  <c r="M756" i="4" s="1"/>
  <c r="L755" i="4"/>
  <c r="K755" i="4"/>
  <c r="J755" i="4"/>
  <c r="I755" i="4"/>
  <c r="M755" i="4" s="1"/>
  <c r="L754" i="4"/>
  <c r="K754" i="4"/>
  <c r="J754" i="4"/>
  <c r="I754" i="4"/>
  <c r="M754" i="4" s="1"/>
  <c r="L753" i="4"/>
  <c r="K753" i="4"/>
  <c r="J753" i="4"/>
  <c r="I753" i="4"/>
  <c r="M753" i="4" s="1"/>
  <c r="L752" i="4"/>
  <c r="K752" i="4"/>
  <c r="J752" i="4"/>
  <c r="I752" i="4"/>
  <c r="M752" i="4" s="1"/>
  <c r="L751" i="4"/>
  <c r="K751" i="4"/>
  <c r="J751" i="4"/>
  <c r="I751" i="4"/>
  <c r="M751" i="4" s="1"/>
  <c r="L750" i="4"/>
  <c r="K750" i="4"/>
  <c r="J750" i="4"/>
  <c r="I750" i="4"/>
  <c r="M750" i="4" s="1"/>
  <c r="L749" i="4"/>
  <c r="K749" i="4"/>
  <c r="J749" i="4"/>
  <c r="I749" i="4"/>
  <c r="M749" i="4" s="1"/>
  <c r="L748" i="4"/>
  <c r="K748" i="4"/>
  <c r="J748" i="4"/>
  <c r="I748" i="4"/>
  <c r="M748" i="4" s="1"/>
  <c r="L747" i="4"/>
  <c r="K747" i="4"/>
  <c r="J747" i="4"/>
  <c r="I747" i="4"/>
  <c r="M747" i="4" s="1"/>
  <c r="M746" i="4"/>
  <c r="L746" i="4"/>
  <c r="K746" i="4"/>
  <c r="J746" i="4"/>
  <c r="I746" i="4"/>
  <c r="L745" i="4"/>
  <c r="K745" i="4"/>
  <c r="J745" i="4"/>
  <c r="I745" i="4"/>
  <c r="M745" i="4" s="1"/>
  <c r="L744" i="4"/>
  <c r="K744" i="4"/>
  <c r="J744" i="4"/>
  <c r="I744" i="4"/>
  <c r="M744" i="4" s="1"/>
  <c r="L743" i="4"/>
  <c r="K743" i="4"/>
  <c r="J743" i="4"/>
  <c r="I743" i="4"/>
  <c r="M743" i="4" s="1"/>
  <c r="M742" i="4"/>
  <c r="L742" i="4"/>
  <c r="K742" i="4"/>
  <c r="J742" i="4"/>
  <c r="I742" i="4"/>
  <c r="L741" i="4"/>
  <c r="K741" i="4"/>
  <c r="J741" i="4"/>
  <c r="I741" i="4"/>
  <c r="M741" i="4" s="1"/>
  <c r="L740" i="4"/>
  <c r="K740" i="4"/>
  <c r="J740" i="4"/>
  <c r="I740" i="4"/>
  <c r="M740" i="4" s="1"/>
  <c r="L739" i="4"/>
  <c r="K739" i="4"/>
  <c r="J739" i="4"/>
  <c r="I739" i="4"/>
  <c r="M739" i="4" s="1"/>
  <c r="L738" i="4"/>
  <c r="K738" i="4"/>
  <c r="J738" i="4"/>
  <c r="I738" i="4"/>
  <c r="M738" i="4" s="1"/>
  <c r="L737" i="4"/>
  <c r="K737" i="4"/>
  <c r="J737" i="4"/>
  <c r="I737" i="4"/>
  <c r="M737" i="4" s="1"/>
  <c r="L736" i="4"/>
  <c r="K736" i="4"/>
  <c r="J736" i="4"/>
  <c r="I736" i="4"/>
  <c r="M736" i="4" s="1"/>
  <c r="L735" i="4"/>
  <c r="K735" i="4"/>
  <c r="J735" i="4"/>
  <c r="I735" i="4"/>
  <c r="M735" i="4" s="1"/>
  <c r="M734" i="4"/>
  <c r="L734" i="4"/>
  <c r="K734" i="4"/>
  <c r="J734" i="4"/>
  <c r="I734" i="4"/>
  <c r="L733" i="4"/>
  <c r="K733" i="4"/>
  <c r="J733" i="4"/>
  <c r="I733" i="4"/>
  <c r="M733" i="4" s="1"/>
  <c r="L732" i="4"/>
  <c r="K732" i="4"/>
  <c r="J732" i="4"/>
  <c r="I732" i="4"/>
  <c r="M732" i="4" s="1"/>
  <c r="L731" i="4"/>
  <c r="K731" i="4"/>
  <c r="J731" i="4"/>
  <c r="I731" i="4"/>
  <c r="M731" i="4" s="1"/>
  <c r="L730" i="4"/>
  <c r="K730" i="4"/>
  <c r="J730" i="4"/>
  <c r="I730" i="4"/>
  <c r="M730" i="4" s="1"/>
  <c r="L729" i="4"/>
  <c r="K729" i="4"/>
  <c r="J729" i="4"/>
  <c r="I729" i="4"/>
  <c r="M729" i="4" s="1"/>
  <c r="M728" i="4"/>
  <c r="L728" i="4"/>
  <c r="K728" i="4"/>
  <c r="J728" i="4"/>
  <c r="I728" i="4"/>
  <c r="L727" i="4"/>
  <c r="K727" i="4"/>
  <c r="J727" i="4"/>
  <c r="I727" i="4"/>
  <c r="M727" i="4" s="1"/>
  <c r="L726" i="4"/>
  <c r="K726" i="4"/>
  <c r="J726" i="4"/>
  <c r="I726" i="4"/>
  <c r="M726" i="4" s="1"/>
  <c r="L725" i="4"/>
  <c r="K725" i="4"/>
  <c r="J725" i="4"/>
  <c r="I725" i="4"/>
  <c r="M725" i="4" s="1"/>
  <c r="L724" i="4"/>
  <c r="K724" i="4"/>
  <c r="J724" i="4"/>
  <c r="I724" i="4"/>
  <c r="M724" i="4" s="1"/>
  <c r="L723" i="4"/>
  <c r="K723" i="4"/>
  <c r="J723" i="4"/>
  <c r="I723" i="4"/>
  <c r="M723" i="4" s="1"/>
  <c r="M722" i="4"/>
  <c r="L722" i="4"/>
  <c r="K722" i="4"/>
  <c r="J722" i="4"/>
  <c r="I722" i="4"/>
  <c r="L721" i="4"/>
  <c r="K721" i="4"/>
  <c r="J721" i="4"/>
  <c r="I721" i="4"/>
  <c r="M721" i="4" s="1"/>
  <c r="L720" i="4"/>
  <c r="K720" i="4"/>
  <c r="J720" i="4"/>
  <c r="I720" i="4"/>
  <c r="M720" i="4" s="1"/>
  <c r="L719" i="4"/>
  <c r="K719" i="4"/>
  <c r="J719" i="4"/>
  <c r="I719" i="4"/>
  <c r="M719" i="4" s="1"/>
  <c r="L718" i="4"/>
  <c r="K718" i="4"/>
  <c r="J718" i="4"/>
  <c r="I718" i="4"/>
  <c r="M718" i="4" s="1"/>
  <c r="L717" i="4"/>
  <c r="K717" i="4"/>
  <c r="J717" i="4"/>
  <c r="I717" i="4"/>
  <c r="M717" i="4" s="1"/>
  <c r="L716" i="4"/>
  <c r="K716" i="4"/>
  <c r="J716" i="4"/>
  <c r="I716" i="4"/>
  <c r="M716" i="4" s="1"/>
  <c r="L715" i="4"/>
  <c r="K715" i="4"/>
  <c r="J715" i="4"/>
  <c r="I715" i="4"/>
  <c r="M715" i="4" s="1"/>
  <c r="L714" i="4"/>
  <c r="K714" i="4"/>
  <c r="J714" i="4"/>
  <c r="I714" i="4"/>
  <c r="M714" i="4" s="1"/>
  <c r="L713" i="4"/>
  <c r="K713" i="4"/>
  <c r="J713" i="4"/>
  <c r="I713" i="4"/>
  <c r="M713" i="4" s="1"/>
  <c r="L712" i="4"/>
  <c r="K712" i="4"/>
  <c r="J712" i="4"/>
  <c r="I712" i="4"/>
  <c r="M712" i="4" s="1"/>
  <c r="L711" i="4"/>
  <c r="K711" i="4"/>
  <c r="J711" i="4"/>
  <c r="I711" i="4"/>
  <c r="M711" i="4" s="1"/>
  <c r="L710" i="4"/>
  <c r="K710" i="4"/>
  <c r="J710" i="4"/>
  <c r="I710" i="4"/>
  <c r="M710" i="4" s="1"/>
  <c r="L709" i="4"/>
  <c r="K709" i="4"/>
  <c r="J709" i="4"/>
  <c r="I709" i="4"/>
  <c r="M709" i="4" s="1"/>
  <c r="M708" i="4"/>
  <c r="L708" i="4"/>
  <c r="K708" i="4"/>
  <c r="J708" i="4"/>
  <c r="I708" i="4"/>
  <c r="L707" i="4"/>
  <c r="K707" i="4"/>
  <c r="J707" i="4"/>
  <c r="I707" i="4"/>
  <c r="M707" i="4" s="1"/>
  <c r="M706" i="4"/>
  <c r="L706" i="4"/>
  <c r="K706" i="4"/>
  <c r="J706" i="4"/>
  <c r="I706" i="4"/>
  <c r="L705" i="4"/>
  <c r="K705" i="4"/>
  <c r="J705" i="4"/>
  <c r="I705" i="4"/>
  <c r="M705" i="4" s="1"/>
  <c r="L704" i="4"/>
  <c r="K704" i="4"/>
  <c r="J704" i="4"/>
  <c r="I704" i="4"/>
  <c r="M704" i="4" s="1"/>
  <c r="L703" i="4"/>
  <c r="K703" i="4"/>
  <c r="J703" i="4"/>
  <c r="I703" i="4"/>
  <c r="M703" i="4" s="1"/>
  <c r="M702" i="4"/>
  <c r="L702" i="4"/>
  <c r="K702" i="4"/>
  <c r="J702" i="4"/>
  <c r="I702" i="4"/>
  <c r="L701" i="4"/>
  <c r="K701" i="4"/>
  <c r="J701" i="4"/>
  <c r="I701" i="4"/>
  <c r="M701" i="4" s="1"/>
  <c r="L700" i="4"/>
  <c r="K700" i="4"/>
  <c r="J700" i="4"/>
  <c r="I700" i="4"/>
  <c r="M700" i="4" s="1"/>
  <c r="L699" i="4"/>
  <c r="K699" i="4"/>
  <c r="J699" i="4"/>
  <c r="I699" i="4"/>
  <c r="M699" i="4" s="1"/>
  <c r="L698" i="4"/>
  <c r="K698" i="4"/>
  <c r="J698" i="4"/>
  <c r="I698" i="4"/>
  <c r="M698" i="4" s="1"/>
  <c r="L697" i="4"/>
  <c r="K697" i="4"/>
  <c r="J697" i="4"/>
  <c r="I697" i="4"/>
  <c r="M697" i="4" s="1"/>
  <c r="L696" i="4"/>
  <c r="K696" i="4"/>
  <c r="J696" i="4"/>
  <c r="I696" i="4"/>
  <c r="M696" i="4" s="1"/>
  <c r="L695" i="4"/>
  <c r="K695" i="4"/>
  <c r="J695" i="4"/>
  <c r="I695" i="4"/>
  <c r="M695" i="4" s="1"/>
  <c r="M694" i="4"/>
  <c r="L694" i="4"/>
  <c r="K694" i="4"/>
  <c r="J694" i="4"/>
  <c r="I694" i="4"/>
  <c r="L693" i="4"/>
  <c r="K693" i="4"/>
  <c r="J693" i="4"/>
  <c r="I693" i="4"/>
  <c r="M693" i="4" s="1"/>
  <c r="L692" i="4"/>
  <c r="K692" i="4"/>
  <c r="J692" i="4"/>
  <c r="I692" i="4"/>
  <c r="M692" i="4" s="1"/>
  <c r="M691" i="4"/>
  <c r="L691" i="4"/>
  <c r="K691" i="4"/>
  <c r="J691" i="4"/>
  <c r="I691" i="4"/>
  <c r="L690" i="4"/>
  <c r="K690" i="4"/>
  <c r="J690" i="4"/>
  <c r="I690" i="4"/>
  <c r="M690" i="4" s="1"/>
  <c r="L689" i="4"/>
  <c r="K689" i="4"/>
  <c r="J689" i="4"/>
  <c r="I689" i="4"/>
  <c r="M689" i="4" s="1"/>
  <c r="L688" i="4"/>
  <c r="K688" i="4"/>
  <c r="J688" i="4"/>
  <c r="I688" i="4"/>
  <c r="M688" i="4" s="1"/>
  <c r="M687" i="4"/>
  <c r="L687" i="4"/>
  <c r="K687" i="4"/>
  <c r="J687" i="4"/>
  <c r="I687" i="4"/>
  <c r="L686" i="4"/>
  <c r="K686" i="4"/>
  <c r="J686" i="4"/>
  <c r="I686" i="4"/>
  <c r="M686" i="4" s="1"/>
  <c r="M685" i="4"/>
  <c r="L685" i="4"/>
  <c r="K685" i="4"/>
  <c r="J685" i="4"/>
  <c r="I685" i="4"/>
  <c r="L684" i="4"/>
  <c r="K684" i="4"/>
  <c r="J684" i="4"/>
  <c r="I684" i="4"/>
  <c r="M684" i="4" s="1"/>
  <c r="M683" i="4"/>
  <c r="L683" i="4"/>
  <c r="K683" i="4"/>
  <c r="J683" i="4"/>
  <c r="I683" i="4"/>
  <c r="L682" i="4"/>
  <c r="K682" i="4"/>
  <c r="J682" i="4"/>
  <c r="I682" i="4"/>
  <c r="M682" i="4" s="1"/>
  <c r="M681" i="4"/>
  <c r="L681" i="4"/>
  <c r="K681" i="4"/>
  <c r="J681" i="4"/>
  <c r="I681" i="4"/>
  <c r="L680" i="4"/>
  <c r="K680" i="4"/>
  <c r="J680" i="4"/>
  <c r="I680" i="4"/>
  <c r="M680" i="4" s="1"/>
  <c r="M679" i="4"/>
  <c r="L679" i="4"/>
  <c r="K679" i="4"/>
  <c r="J679" i="4"/>
  <c r="I679" i="4"/>
  <c r="L678" i="4"/>
  <c r="K678" i="4"/>
  <c r="J678" i="4"/>
  <c r="I678" i="4"/>
  <c r="M678" i="4" s="1"/>
  <c r="M677" i="4"/>
  <c r="L677" i="4"/>
  <c r="K677" i="4"/>
  <c r="J677" i="4"/>
  <c r="I677" i="4"/>
  <c r="L676" i="4"/>
  <c r="K676" i="4"/>
  <c r="J676" i="4"/>
  <c r="I676" i="4"/>
  <c r="M676" i="4" s="1"/>
  <c r="L675" i="4"/>
  <c r="K675" i="4"/>
  <c r="J675" i="4"/>
  <c r="I675" i="4"/>
  <c r="M675" i="4" s="1"/>
  <c r="L674" i="4"/>
  <c r="K674" i="4"/>
  <c r="J674" i="4"/>
  <c r="I674" i="4"/>
  <c r="M674" i="4" s="1"/>
  <c r="L673" i="4"/>
  <c r="K673" i="4"/>
  <c r="J673" i="4"/>
  <c r="I673" i="4"/>
  <c r="M673" i="4" s="1"/>
  <c r="L672" i="4"/>
  <c r="K672" i="4"/>
  <c r="J672" i="4"/>
  <c r="I672" i="4"/>
  <c r="M672" i="4" s="1"/>
  <c r="M671" i="4"/>
  <c r="L671" i="4"/>
  <c r="K671" i="4"/>
  <c r="J671" i="4"/>
  <c r="I671" i="4"/>
  <c r="L670" i="4"/>
  <c r="K670" i="4"/>
  <c r="J670" i="4"/>
  <c r="I670" i="4"/>
  <c r="M670" i="4" s="1"/>
  <c r="L669" i="4"/>
  <c r="K669" i="4"/>
  <c r="J669" i="4"/>
  <c r="I669" i="4"/>
  <c r="M669" i="4" s="1"/>
  <c r="L668" i="4"/>
  <c r="K668" i="4"/>
  <c r="J668" i="4"/>
  <c r="I668" i="4"/>
  <c r="M668" i="4" s="1"/>
  <c r="M667" i="4"/>
  <c r="L667" i="4"/>
  <c r="K667" i="4"/>
  <c r="J667" i="4"/>
  <c r="I667" i="4"/>
  <c r="L666" i="4"/>
  <c r="K666" i="4"/>
  <c r="J666" i="4"/>
  <c r="I666" i="4"/>
  <c r="M666" i="4" s="1"/>
  <c r="M665" i="4"/>
  <c r="L665" i="4"/>
  <c r="K665" i="4"/>
  <c r="J665" i="4"/>
  <c r="I665" i="4"/>
  <c r="L664" i="4"/>
  <c r="K664" i="4"/>
  <c r="J664" i="4"/>
  <c r="I664" i="4"/>
  <c r="M664" i="4" s="1"/>
  <c r="M663" i="4"/>
  <c r="L663" i="4"/>
  <c r="K663" i="4"/>
  <c r="J663" i="4"/>
  <c r="I663" i="4"/>
  <c r="L662" i="4"/>
  <c r="K662" i="4"/>
  <c r="J662" i="4"/>
  <c r="I662" i="4"/>
  <c r="M662" i="4" s="1"/>
  <c r="M661" i="4"/>
  <c r="L661" i="4"/>
  <c r="K661" i="4"/>
  <c r="J661" i="4"/>
  <c r="I661" i="4"/>
  <c r="L660" i="4"/>
  <c r="K660" i="4"/>
  <c r="J660" i="4"/>
  <c r="I660" i="4"/>
  <c r="M660" i="4" s="1"/>
  <c r="M659" i="4"/>
  <c r="L659" i="4"/>
  <c r="K659" i="4"/>
  <c r="J659" i="4"/>
  <c r="I659" i="4"/>
  <c r="L658" i="4"/>
  <c r="K658" i="4"/>
  <c r="J658" i="4"/>
  <c r="I658" i="4"/>
  <c r="M658" i="4" s="1"/>
  <c r="M657" i="4"/>
  <c r="L657" i="4"/>
  <c r="K657" i="4"/>
  <c r="J657" i="4"/>
  <c r="I657" i="4"/>
  <c r="L656" i="4"/>
  <c r="K656" i="4"/>
  <c r="J656" i="4"/>
  <c r="I656" i="4"/>
  <c r="M656" i="4" s="1"/>
  <c r="L655" i="4"/>
  <c r="K655" i="4"/>
  <c r="J655" i="4"/>
  <c r="I655" i="4"/>
  <c r="M655" i="4" s="1"/>
  <c r="L654" i="4"/>
  <c r="K654" i="4"/>
  <c r="J654" i="4"/>
  <c r="I654" i="4"/>
  <c r="M654" i="4" s="1"/>
  <c r="L653" i="4"/>
  <c r="K653" i="4"/>
  <c r="J653" i="4"/>
  <c r="I653" i="4"/>
  <c r="M653" i="4" s="1"/>
  <c r="L652" i="4"/>
  <c r="K652" i="4"/>
  <c r="J652" i="4"/>
  <c r="I652" i="4"/>
  <c r="M652" i="4" s="1"/>
  <c r="M651" i="4"/>
  <c r="L651" i="4"/>
  <c r="K651" i="4"/>
  <c r="J651" i="4"/>
  <c r="I651" i="4"/>
  <c r="L650" i="4"/>
  <c r="K650" i="4"/>
  <c r="J650" i="4"/>
  <c r="I650" i="4"/>
  <c r="M650" i="4" s="1"/>
  <c r="L649" i="4"/>
  <c r="K649" i="4"/>
  <c r="J649" i="4"/>
  <c r="I649" i="4"/>
  <c r="M649" i="4" s="1"/>
  <c r="L648" i="4"/>
  <c r="K648" i="4"/>
  <c r="J648" i="4"/>
  <c r="I648" i="4"/>
  <c r="M648" i="4" s="1"/>
  <c r="M647" i="4"/>
  <c r="L647" i="4"/>
  <c r="K647" i="4"/>
  <c r="J647" i="4"/>
  <c r="I647" i="4"/>
  <c r="L646" i="4"/>
  <c r="K646" i="4"/>
  <c r="J646" i="4"/>
  <c r="I646" i="4"/>
  <c r="M646" i="4" s="1"/>
  <c r="M645" i="4"/>
  <c r="L645" i="4"/>
  <c r="K645" i="4"/>
  <c r="J645" i="4"/>
  <c r="I645" i="4"/>
  <c r="L644" i="4"/>
  <c r="K644" i="4"/>
  <c r="J644" i="4"/>
  <c r="I644" i="4"/>
  <c r="M644" i="4" s="1"/>
  <c r="M643" i="4"/>
  <c r="L643" i="4"/>
  <c r="K643" i="4"/>
  <c r="J643" i="4"/>
  <c r="I643" i="4"/>
  <c r="L642" i="4"/>
  <c r="K642" i="4"/>
  <c r="J642" i="4"/>
  <c r="I642" i="4"/>
  <c r="M642" i="4" s="1"/>
  <c r="M641" i="4"/>
  <c r="L641" i="4"/>
  <c r="K641" i="4"/>
  <c r="J641" i="4"/>
  <c r="I641" i="4"/>
  <c r="L640" i="4"/>
  <c r="K640" i="4"/>
  <c r="J640" i="4"/>
  <c r="I640" i="4"/>
  <c r="M640" i="4" s="1"/>
  <c r="M639" i="4"/>
  <c r="L639" i="4"/>
  <c r="K639" i="4"/>
  <c r="J639" i="4"/>
  <c r="I639" i="4"/>
  <c r="L638" i="4"/>
  <c r="K638" i="4"/>
  <c r="J638" i="4"/>
  <c r="I638" i="4"/>
  <c r="M638" i="4" s="1"/>
  <c r="M637" i="4"/>
  <c r="L637" i="4"/>
  <c r="K637" i="4"/>
  <c r="J637" i="4"/>
  <c r="I637" i="4"/>
  <c r="L636" i="4"/>
  <c r="K636" i="4"/>
  <c r="J636" i="4"/>
  <c r="I636" i="4"/>
  <c r="M636" i="4" s="1"/>
  <c r="L635" i="4"/>
  <c r="K635" i="4"/>
  <c r="J635" i="4"/>
  <c r="I635" i="4"/>
  <c r="M635" i="4" s="1"/>
  <c r="L634" i="4"/>
  <c r="K634" i="4"/>
  <c r="J634" i="4"/>
  <c r="I634" i="4"/>
  <c r="M634" i="4" s="1"/>
  <c r="L633" i="4"/>
  <c r="K633" i="4"/>
  <c r="J633" i="4"/>
  <c r="I633" i="4"/>
  <c r="M633" i="4" s="1"/>
  <c r="L632" i="4"/>
  <c r="K632" i="4"/>
  <c r="J632" i="4"/>
  <c r="I632" i="4"/>
  <c r="M632" i="4" s="1"/>
  <c r="M631" i="4"/>
  <c r="L631" i="4"/>
  <c r="K631" i="4"/>
  <c r="J631" i="4"/>
  <c r="I631" i="4"/>
  <c r="L630" i="4"/>
  <c r="K630" i="4"/>
  <c r="J630" i="4"/>
  <c r="I630" i="4"/>
  <c r="M630" i="4" s="1"/>
  <c r="L629" i="4"/>
  <c r="K629" i="4"/>
  <c r="J629" i="4"/>
  <c r="I629" i="4"/>
  <c r="M629" i="4" s="1"/>
  <c r="L628" i="4"/>
  <c r="K628" i="4"/>
  <c r="J628" i="4"/>
  <c r="I628" i="4"/>
  <c r="M628" i="4" s="1"/>
  <c r="M627" i="4"/>
  <c r="L627" i="4"/>
  <c r="K627" i="4"/>
  <c r="J627" i="4"/>
  <c r="I627" i="4"/>
  <c r="L626" i="4"/>
  <c r="K626" i="4"/>
  <c r="J626" i="4"/>
  <c r="I626" i="4"/>
  <c r="M626" i="4" s="1"/>
  <c r="M625" i="4"/>
  <c r="L625" i="4"/>
  <c r="K625" i="4"/>
  <c r="J625" i="4"/>
  <c r="I625" i="4"/>
  <c r="L624" i="4"/>
  <c r="K624" i="4"/>
  <c r="J624" i="4"/>
  <c r="I624" i="4"/>
  <c r="M624" i="4" s="1"/>
  <c r="M623" i="4"/>
  <c r="L623" i="4"/>
  <c r="K623" i="4"/>
  <c r="J623" i="4"/>
  <c r="I623" i="4"/>
  <c r="L622" i="4"/>
  <c r="K622" i="4"/>
  <c r="J622" i="4"/>
  <c r="I622" i="4"/>
  <c r="M622" i="4" s="1"/>
  <c r="M621" i="4"/>
  <c r="L621" i="4"/>
  <c r="K621" i="4"/>
  <c r="J621" i="4"/>
  <c r="I621" i="4"/>
  <c r="L620" i="4"/>
  <c r="K620" i="4"/>
  <c r="J620" i="4"/>
  <c r="I620" i="4"/>
  <c r="M620" i="4" s="1"/>
  <c r="M619" i="4"/>
  <c r="L619" i="4"/>
  <c r="K619" i="4"/>
  <c r="J619" i="4"/>
  <c r="I619" i="4"/>
  <c r="L618" i="4"/>
  <c r="K618" i="4"/>
  <c r="J618" i="4"/>
  <c r="I618" i="4"/>
  <c r="M618" i="4" s="1"/>
  <c r="M617" i="4"/>
  <c r="L617" i="4"/>
  <c r="K617" i="4"/>
  <c r="J617" i="4"/>
  <c r="I617" i="4"/>
  <c r="L616" i="4"/>
  <c r="K616" i="4"/>
  <c r="J616" i="4"/>
  <c r="I616" i="4"/>
  <c r="M616" i="4" s="1"/>
  <c r="L615" i="4"/>
  <c r="K615" i="4"/>
  <c r="J615" i="4"/>
  <c r="I615" i="4"/>
  <c r="M615" i="4" s="1"/>
  <c r="L614" i="4"/>
  <c r="K614" i="4"/>
  <c r="J614" i="4"/>
  <c r="I614" i="4"/>
  <c r="M614" i="4" s="1"/>
  <c r="L613" i="4"/>
  <c r="K613" i="4"/>
  <c r="J613" i="4"/>
  <c r="I613" i="4"/>
  <c r="M613" i="4" s="1"/>
  <c r="L612" i="4"/>
  <c r="K612" i="4"/>
  <c r="J612" i="4"/>
  <c r="I612" i="4"/>
  <c r="M612" i="4" s="1"/>
  <c r="M611" i="4"/>
  <c r="L611" i="4"/>
  <c r="K611" i="4"/>
  <c r="J611" i="4"/>
  <c r="I611" i="4"/>
  <c r="L610" i="4"/>
  <c r="K610" i="4"/>
  <c r="J610" i="4"/>
  <c r="I610" i="4"/>
  <c r="M610" i="4" s="1"/>
  <c r="L609" i="4"/>
  <c r="K609" i="4"/>
  <c r="J609" i="4"/>
  <c r="I609" i="4"/>
  <c r="M609" i="4" s="1"/>
  <c r="L608" i="4"/>
  <c r="K608" i="4"/>
  <c r="J608" i="4"/>
  <c r="I608" i="4"/>
  <c r="M608" i="4" s="1"/>
  <c r="M607" i="4"/>
  <c r="L607" i="4"/>
  <c r="K607" i="4"/>
  <c r="J607" i="4"/>
  <c r="I607" i="4"/>
  <c r="L606" i="4"/>
  <c r="K606" i="4"/>
  <c r="J606" i="4"/>
  <c r="I606" i="4"/>
  <c r="M606" i="4" s="1"/>
  <c r="M605" i="4"/>
  <c r="L605" i="4"/>
  <c r="K605" i="4"/>
  <c r="J605" i="4"/>
  <c r="I605" i="4"/>
  <c r="L604" i="4"/>
  <c r="K604" i="4"/>
  <c r="J604" i="4"/>
  <c r="I604" i="4"/>
  <c r="M604" i="4" s="1"/>
  <c r="M603" i="4"/>
  <c r="L603" i="4"/>
  <c r="K603" i="4"/>
  <c r="J603" i="4"/>
  <c r="I603" i="4"/>
  <c r="L602" i="4"/>
  <c r="K602" i="4"/>
  <c r="J602" i="4"/>
  <c r="I602" i="4"/>
  <c r="M602" i="4" s="1"/>
  <c r="M601" i="4"/>
  <c r="L601" i="4"/>
  <c r="K601" i="4"/>
  <c r="J601" i="4"/>
  <c r="I601" i="4"/>
  <c r="L600" i="4"/>
  <c r="K600" i="4"/>
  <c r="J600" i="4"/>
  <c r="I600" i="4"/>
  <c r="M600" i="4" s="1"/>
  <c r="M599" i="4"/>
  <c r="L599" i="4"/>
  <c r="K599" i="4"/>
  <c r="J599" i="4"/>
  <c r="I599" i="4"/>
  <c r="L598" i="4"/>
  <c r="K598" i="4"/>
  <c r="J598" i="4"/>
  <c r="I598" i="4"/>
  <c r="M598" i="4" s="1"/>
  <c r="M597" i="4"/>
  <c r="L597" i="4"/>
  <c r="K597" i="4"/>
  <c r="J597" i="4"/>
  <c r="I597" i="4"/>
  <c r="L596" i="4"/>
  <c r="K596" i="4"/>
  <c r="J596" i="4"/>
  <c r="I596" i="4"/>
  <c r="M596" i="4" s="1"/>
  <c r="L595" i="4"/>
  <c r="K595" i="4"/>
  <c r="J595" i="4"/>
  <c r="I595" i="4"/>
  <c r="M595" i="4" s="1"/>
  <c r="L594" i="4"/>
  <c r="K594" i="4"/>
  <c r="J594" i="4"/>
  <c r="I594" i="4"/>
  <c r="M594" i="4" s="1"/>
  <c r="L593" i="4"/>
  <c r="K593" i="4"/>
  <c r="J593" i="4"/>
  <c r="I593" i="4"/>
  <c r="M593" i="4" s="1"/>
  <c r="L592" i="4"/>
  <c r="K592" i="4"/>
  <c r="J592" i="4"/>
  <c r="I592" i="4"/>
  <c r="M592" i="4" s="1"/>
  <c r="M591" i="4"/>
  <c r="L591" i="4"/>
  <c r="K591" i="4"/>
  <c r="J591" i="4"/>
  <c r="I591" i="4"/>
  <c r="L590" i="4"/>
  <c r="K590" i="4"/>
  <c r="J590" i="4"/>
  <c r="I590" i="4"/>
  <c r="M590" i="4" s="1"/>
  <c r="L589" i="4"/>
  <c r="K589" i="4"/>
  <c r="J589" i="4"/>
  <c r="I589" i="4"/>
  <c r="M589" i="4" s="1"/>
  <c r="L588" i="4"/>
  <c r="K588" i="4"/>
  <c r="J588" i="4"/>
  <c r="I588" i="4"/>
  <c r="M588" i="4" s="1"/>
  <c r="M587" i="4"/>
  <c r="L587" i="4"/>
  <c r="K587" i="4"/>
  <c r="J587" i="4"/>
  <c r="I587" i="4"/>
  <c r="L586" i="4"/>
  <c r="K586" i="4"/>
  <c r="J586" i="4"/>
  <c r="I586" i="4"/>
  <c r="M586" i="4" s="1"/>
  <c r="M585" i="4"/>
  <c r="L585" i="4"/>
  <c r="K585" i="4"/>
  <c r="J585" i="4"/>
  <c r="I585" i="4"/>
  <c r="L584" i="4"/>
  <c r="K584" i="4"/>
  <c r="J584" i="4"/>
  <c r="I584" i="4"/>
  <c r="M584" i="4" s="1"/>
  <c r="M583" i="4"/>
  <c r="L583" i="4"/>
  <c r="K583" i="4"/>
  <c r="J583" i="4"/>
  <c r="I583" i="4"/>
  <c r="L582" i="4"/>
  <c r="K582" i="4"/>
  <c r="J582" i="4"/>
  <c r="I582" i="4"/>
  <c r="M582" i="4" s="1"/>
  <c r="M581" i="4"/>
  <c r="L581" i="4"/>
  <c r="K581" i="4"/>
  <c r="J581" i="4"/>
  <c r="I581" i="4"/>
  <c r="L580" i="4"/>
  <c r="K580" i="4"/>
  <c r="J580" i="4"/>
  <c r="I580" i="4"/>
  <c r="M580" i="4" s="1"/>
  <c r="M579" i="4"/>
  <c r="L579" i="4"/>
  <c r="K579" i="4"/>
  <c r="J579" i="4"/>
  <c r="I579" i="4"/>
  <c r="L578" i="4"/>
  <c r="K578" i="4"/>
  <c r="J578" i="4"/>
  <c r="I578" i="4"/>
  <c r="M578" i="4" s="1"/>
  <c r="M577" i="4"/>
  <c r="L577" i="4"/>
  <c r="K577" i="4"/>
  <c r="J577" i="4"/>
  <c r="I577" i="4"/>
  <c r="L576" i="4"/>
  <c r="K576" i="4"/>
  <c r="J576" i="4"/>
  <c r="I576" i="4"/>
  <c r="M576" i="4" s="1"/>
  <c r="L575" i="4"/>
  <c r="K575" i="4"/>
  <c r="J575" i="4"/>
  <c r="I575" i="4"/>
  <c r="M575" i="4" s="1"/>
  <c r="L574" i="4"/>
  <c r="K574" i="4"/>
  <c r="J574" i="4"/>
  <c r="I574" i="4"/>
  <c r="M574" i="4" s="1"/>
  <c r="L573" i="4"/>
  <c r="K573" i="4"/>
  <c r="J573" i="4"/>
  <c r="I573" i="4"/>
  <c r="M573" i="4" s="1"/>
  <c r="L572" i="4"/>
  <c r="K572" i="4"/>
  <c r="J572" i="4"/>
  <c r="I572" i="4"/>
  <c r="M572" i="4" s="1"/>
  <c r="M571" i="4"/>
  <c r="L571" i="4"/>
  <c r="K571" i="4"/>
  <c r="J571" i="4"/>
  <c r="I571" i="4"/>
  <c r="L570" i="4"/>
  <c r="K570" i="4"/>
  <c r="J570" i="4"/>
  <c r="I570" i="4"/>
  <c r="M570" i="4" s="1"/>
  <c r="L569" i="4"/>
  <c r="K569" i="4"/>
  <c r="J569" i="4"/>
  <c r="I569" i="4"/>
  <c r="M569" i="4" s="1"/>
  <c r="L568" i="4"/>
  <c r="K568" i="4"/>
  <c r="J568" i="4"/>
  <c r="I568" i="4"/>
  <c r="M568" i="4" s="1"/>
  <c r="M567" i="4"/>
  <c r="L567" i="4"/>
  <c r="K567" i="4"/>
  <c r="J567" i="4"/>
  <c r="I567" i="4"/>
  <c r="L566" i="4"/>
  <c r="K566" i="4"/>
  <c r="J566" i="4"/>
  <c r="I566" i="4"/>
  <c r="M566" i="4" s="1"/>
  <c r="M565" i="4"/>
  <c r="L565" i="4"/>
  <c r="K565" i="4"/>
  <c r="J565" i="4"/>
  <c r="I565" i="4"/>
  <c r="L564" i="4"/>
  <c r="K564" i="4"/>
  <c r="J564" i="4"/>
  <c r="I564" i="4"/>
  <c r="M564" i="4" s="1"/>
  <c r="M563" i="4"/>
  <c r="L563" i="4"/>
  <c r="K563" i="4"/>
  <c r="J563" i="4"/>
  <c r="I563" i="4"/>
  <c r="L562" i="4"/>
  <c r="K562" i="4"/>
  <c r="J562" i="4"/>
  <c r="I562" i="4"/>
  <c r="M562" i="4" s="1"/>
  <c r="M561" i="4"/>
  <c r="L561" i="4"/>
  <c r="K561" i="4"/>
  <c r="J561" i="4"/>
  <c r="I561" i="4"/>
  <c r="L560" i="4"/>
  <c r="K560" i="4"/>
  <c r="J560" i="4"/>
  <c r="I560" i="4"/>
  <c r="M560" i="4" s="1"/>
  <c r="M559" i="4"/>
  <c r="L559" i="4"/>
  <c r="K559" i="4"/>
  <c r="J559" i="4"/>
  <c r="I559" i="4"/>
  <c r="L558" i="4"/>
  <c r="K558" i="4"/>
  <c r="J558" i="4"/>
  <c r="I558" i="4"/>
  <c r="M558" i="4" s="1"/>
  <c r="M557" i="4"/>
  <c r="L557" i="4"/>
  <c r="K557" i="4"/>
  <c r="J557" i="4"/>
  <c r="I557" i="4"/>
  <c r="M556" i="4"/>
  <c r="L556" i="4"/>
  <c r="K556" i="4"/>
  <c r="J556" i="4"/>
  <c r="I556" i="4"/>
  <c r="M555" i="4"/>
  <c r="L555" i="4"/>
  <c r="K555" i="4"/>
  <c r="J555" i="4"/>
  <c r="I555" i="4"/>
  <c r="M554" i="4"/>
  <c r="L554" i="4"/>
  <c r="K554" i="4"/>
  <c r="J554" i="4"/>
  <c r="I554" i="4"/>
  <c r="M553" i="4"/>
  <c r="L553" i="4"/>
  <c r="K553" i="4"/>
  <c r="J553" i="4"/>
  <c r="I553" i="4"/>
  <c r="M552" i="4"/>
  <c r="L552" i="4"/>
  <c r="K552" i="4"/>
  <c r="J552" i="4"/>
  <c r="I552" i="4"/>
  <c r="M551" i="4"/>
  <c r="L551" i="4"/>
  <c r="K551" i="4"/>
  <c r="J551" i="4"/>
  <c r="I551" i="4"/>
  <c r="M550" i="4"/>
  <c r="L550" i="4"/>
  <c r="K550" i="4"/>
  <c r="J550" i="4"/>
  <c r="I550" i="4"/>
  <c r="M549" i="4"/>
  <c r="L549" i="4"/>
  <c r="K549" i="4"/>
  <c r="J549" i="4"/>
  <c r="I549" i="4"/>
  <c r="M548" i="4"/>
  <c r="L548" i="4"/>
  <c r="K548" i="4"/>
  <c r="J548" i="4"/>
  <c r="I548" i="4"/>
  <c r="M547" i="4"/>
  <c r="L547" i="4"/>
  <c r="K547" i="4"/>
  <c r="J547" i="4"/>
  <c r="I547" i="4"/>
  <c r="M546" i="4"/>
  <c r="L546" i="4"/>
  <c r="K546" i="4"/>
  <c r="J546" i="4"/>
  <c r="I546" i="4"/>
  <c r="M545" i="4"/>
  <c r="L545" i="4"/>
  <c r="K545" i="4"/>
  <c r="J545" i="4"/>
  <c r="I545" i="4"/>
  <c r="M544" i="4"/>
  <c r="L544" i="4"/>
  <c r="K544" i="4"/>
  <c r="J544" i="4"/>
  <c r="I544" i="4"/>
  <c r="M543" i="4"/>
  <c r="L543" i="4"/>
  <c r="K543" i="4"/>
  <c r="J543" i="4"/>
  <c r="I543" i="4"/>
  <c r="M542" i="4"/>
  <c r="L542" i="4"/>
  <c r="K542" i="4"/>
  <c r="J542" i="4"/>
  <c r="I542" i="4"/>
  <c r="M541" i="4"/>
  <c r="L541" i="4"/>
  <c r="K541" i="4"/>
  <c r="J541" i="4"/>
  <c r="I541" i="4"/>
  <c r="M540" i="4"/>
  <c r="L540" i="4"/>
  <c r="K540" i="4"/>
  <c r="J540" i="4"/>
  <c r="I540" i="4"/>
  <c r="M539" i="4"/>
  <c r="L539" i="4"/>
  <c r="K539" i="4"/>
  <c r="J539" i="4"/>
  <c r="I539" i="4"/>
  <c r="M538" i="4"/>
  <c r="L538" i="4"/>
  <c r="K538" i="4"/>
  <c r="J538" i="4"/>
  <c r="I538" i="4"/>
  <c r="M537" i="4"/>
  <c r="L537" i="4"/>
  <c r="K537" i="4"/>
  <c r="J537" i="4"/>
  <c r="I537" i="4"/>
  <c r="M536" i="4"/>
  <c r="L536" i="4"/>
  <c r="K536" i="4"/>
  <c r="J536" i="4"/>
  <c r="I536" i="4"/>
  <c r="M535" i="4"/>
  <c r="L535" i="4"/>
  <c r="K535" i="4"/>
  <c r="J535" i="4"/>
  <c r="I535" i="4"/>
  <c r="M534" i="4"/>
  <c r="L534" i="4"/>
  <c r="K534" i="4"/>
  <c r="J534" i="4"/>
  <c r="I534" i="4"/>
  <c r="M533" i="4"/>
  <c r="L533" i="4"/>
  <c r="K533" i="4"/>
  <c r="J533" i="4"/>
  <c r="I533" i="4"/>
  <c r="M532" i="4"/>
  <c r="L532" i="4"/>
  <c r="K532" i="4"/>
  <c r="J532" i="4"/>
  <c r="I532" i="4"/>
  <c r="M531" i="4"/>
  <c r="L531" i="4"/>
  <c r="K531" i="4"/>
  <c r="J531" i="4"/>
  <c r="I531" i="4"/>
  <c r="M530" i="4"/>
  <c r="L530" i="4"/>
  <c r="K530" i="4"/>
  <c r="J530" i="4"/>
  <c r="I530" i="4"/>
  <c r="M529" i="4"/>
  <c r="L529" i="4"/>
  <c r="K529" i="4"/>
  <c r="J529" i="4"/>
  <c r="I529" i="4"/>
  <c r="M528" i="4"/>
  <c r="L528" i="4"/>
  <c r="K528" i="4"/>
  <c r="J528" i="4"/>
  <c r="I528" i="4"/>
  <c r="M527" i="4"/>
  <c r="L527" i="4"/>
  <c r="K527" i="4"/>
  <c r="J527" i="4"/>
  <c r="I527" i="4"/>
  <c r="M526" i="4"/>
  <c r="L526" i="4"/>
  <c r="K526" i="4"/>
  <c r="J526" i="4"/>
  <c r="I526" i="4"/>
  <c r="M525" i="4"/>
  <c r="L525" i="4"/>
  <c r="K525" i="4"/>
  <c r="J525" i="4"/>
  <c r="I525" i="4"/>
  <c r="M524" i="4"/>
  <c r="L524" i="4"/>
  <c r="K524" i="4"/>
  <c r="J524" i="4"/>
  <c r="I524" i="4"/>
  <c r="M523" i="4"/>
  <c r="L523" i="4"/>
  <c r="K523" i="4"/>
  <c r="J523" i="4"/>
  <c r="I523" i="4"/>
  <c r="M522" i="4"/>
  <c r="L522" i="4"/>
  <c r="K522" i="4"/>
  <c r="J522" i="4"/>
  <c r="I522" i="4"/>
  <c r="M521" i="4"/>
  <c r="L521" i="4"/>
  <c r="K521" i="4"/>
  <c r="J521" i="4"/>
  <c r="I521" i="4"/>
  <c r="M520" i="4"/>
  <c r="L520" i="4"/>
  <c r="K520" i="4"/>
  <c r="J520" i="4"/>
  <c r="I520" i="4"/>
  <c r="M519" i="4"/>
  <c r="L519" i="4"/>
  <c r="K519" i="4"/>
  <c r="J519" i="4"/>
  <c r="I519" i="4"/>
  <c r="M518" i="4"/>
  <c r="L518" i="4"/>
  <c r="K518" i="4"/>
  <c r="J518" i="4"/>
  <c r="I518" i="4"/>
  <c r="M517" i="4"/>
  <c r="L517" i="4"/>
  <c r="K517" i="4"/>
  <c r="J517" i="4"/>
  <c r="I517" i="4"/>
  <c r="M516" i="4"/>
  <c r="L516" i="4"/>
  <c r="K516" i="4"/>
  <c r="J516" i="4"/>
  <c r="I516" i="4"/>
  <c r="M515" i="4"/>
  <c r="L515" i="4"/>
  <c r="K515" i="4"/>
  <c r="J515" i="4"/>
  <c r="I515" i="4"/>
  <c r="M514" i="4"/>
  <c r="L514" i="4"/>
  <c r="K514" i="4"/>
  <c r="J514" i="4"/>
  <c r="I514" i="4"/>
  <c r="M513" i="4"/>
  <c r="L513" i="4"/>
  <c r="K513" i="4"/>
  <c r="J513" i="4"/>
  <c r="I513" i="4"/>
  <c r="M512" i="4"/>
  <c r="L512" i="4"/>
  <c r="K512" i="4"/>
  <c r="J512" i="4"/>
  <c r="I512" i="4"/>
  <c r="M511" i="4"/>
  <c r="L511" i="4"/>
  <c r="K511" i="4"/>
  <c r="J511" i="4"/>
  <c r="I511" i="4"/>
  <c r="M510" i="4"/>
  <c r="L510" i="4"/>
  <c r="K510" i="4"/>
  <c r="J510" i="4"/>
  <c r="I510" i="4"/>
  <c r="M509" i="4"/>
  <c r="L509" i="4"/>
  <c r="K509" i="4"/>
  <c r="J509" i="4"/>
  <c r="I509" i="4"/>
  <c r="M508" i="4"/>
  <c r="L508" i="4"/>
  <c r="K508" i="4"/>
  <c r="J508" i="4"/>
  <c r="I508" i="4"/>
  <c r="M507" i="4"/>
  <c r="L507" i="4"/>
  <c r="K507" i="4"/>
  <c r="J507" i="4"/>
  <c r="I507" i="4"/>
  <c r="M506" i="4"/>
  <c r="L506" i="4"/>
  <c r="K506" i="4"/>
  <c r="J506" i="4"/>
  <c r="I506" i="4"/>
  <c r="M505" i="4"/>
  <c r="L505" i="4"/>
  <c r="K505" i="4"/>
  <c r="J505" i="4"/>
  <c r="I505" i="4"/>
  <c r="M504" i="4"/>
  <c r="L504" i="4"/>
  <c r="K504" i="4"/>
  <c r="J504" i="4"/>
  <c r="I504" i="4"/>
  <c r="M503" i="4"/>
  <c r="L503" i="4"/>
  <c r="K503" i="4"/>
  <c r="J503" i="4"/>
  <c r="I503" i="4"/>
  <c r="M502" i="4"/>
  <c r="L502" i="4"/>
  <c r="K502" i="4"/>
  <c r="J502" i="4"/>
  <c r="I502" i="4"/>
  <c r="M501" i="4"/>
  <c r="L501" i="4"/>
  <c r="K501" i="4"/>
  <c r="J501" i="4"/>
  <c r="I501" i="4"/>
  <c r="M500" i="4"/>
  <c r="L500" i="4"/>
  <c r="K500" i="4"/>
  <c r="J500" i="4"/>
  <c r="I500" i="4"/>
  <c r="M499" i="4"/>
  <c r="L499" i="4"/>
  <c r="K499" i="4"/>
  <c r="J499" i="4"/>
  <c r="I499" i="4"/>
  <c r="M498" i="4"/>
  <c r="L498" i="4"/>
  <c r="K498" i="4"/>
  <c r="J498" i="4"/>
  <c r="I498" i="4"/>
  <c r="M497" i="4"/>
  <c r="L497" i="4"/>
  <c r="K497" i="4"/>
  <c r="J497" i="4"/>
  <c r="I497" i="4"/>
  <c r="M496" i="4"/>
  <c r="L496" i="4"/>
  <c r="K496" i="4"/>
  <c r="J496" i="4"/>
  <c r="I496" i="4"/>
  <c r="M495" i="4"/>
  <c r="L495" i="4"/>
  <c r="K495" i="4"/>
  <c r="J495" i="4"/>
  <c r="I495" i="4"/>
  <c r="M494" i="4"/>
  <c r="L494" i="4"/>
  <c r="K494" i="4"/>
  <c r="J494" i="4"/>
  <c r="I494" i="4"/>
  <c r="M493" i="4"/>
  <c r="L493" i="4"/>
  <c r="K493" i="4"/>
  <c r="J493" i="4"/>
  <c r="I493" i="4"/>
  <c r="M492" i="4"/>
  <c r="L492" i="4"/>
  <c r="K492" i="4"/>
  <c r="J492" i="4"/>
  <c r="I492" i="4"/>
  <c r="M491" i="4"/>
  <c r="L491" i="4"/>
  <c r="K491" i="4"/>
  <c r="J491" i="4"/>
  <c r="I491" i="4"/>
  <c r="M490" i="4"/>
  <c r="L490" i="4"/>
  <c r="K490" i="4"/>
  <c r="J490" i="4"/>
  <c r="I490" i="4"/>
  <c r="M489" i="4"/>
  <c r="L489" i="4"/>
  <c r="K489" i="4"/>
  <c r="J489" i="4"/>
  <c r="I489" i="4"/>
  <c r="M488" i="4"/>
  <c r="L488" i="4"/>
  <c r="K488" i="4"/>
  <c r="J488" i="4"/>
  <c r="I488" i="4"/>
  <c r="M487" i="4"/>
  <c r="L487" i="4"/>
  <c r="K487" i="4"/>
  <c r="J487" i="4"/>
  <c r="I487" i="4"/>
  <c r="M486" i="4"/>
  <c r="L486" i="4"/>
  <c r="K486" i="4"/>
  <c r="J486" i="4"/>
  <c r="I486" i="4"/>
  <c r="M485" i="4"/>
  <c r="L485" i="4"/>
  <c r="K485" i="4"/>
  <c r="J485" i="4"/>
  <c r="I485" i="4"/>
  <c r="M484" i="4"/>
  <c r="L484" i="4"/>
  <c r="K484" i="4"/>
  <c r="J484" i="4"/>
  <c r="I484" i="4"/>
  <c r="M483" i="4"/>
  <c r="L483" i="4"/>
  <c r="K483" i="4"/>
  <c r="J483" i="4"/>
  <c r="I483" i="4"/>
  <c r="M482" i="4"/>
  <c r="L482" i="4"/>
  <c r="K482" i="4"/>
  <c r="J482" i="4"/>
  <c r="I482" i="4"/>
  <c r="M481" i="4"/>
  <c r="L481" i="4"/>
  <c r="K481" i="4"/>
  <c r="J481" i="4"/>
  <c r="I481" i="4"/>
  <c r="M480" i="4"/>
  <c r="L480" i="4"/>
  <c r="K480" i="4"/>
  <c r="J480" i="4"/>
  <c r="I480" i="4"/>
  <c r="M479" i="4"/>
  <c r="L479" i="4"/>
  <c r="K479" i="4"/>
  <c r="J479" i="4"/>
  <c r="I479" i="4"/>
  <c r="M478" i="4"/>
  <c r="L478" i="4"/>
  <c r="K478" i="4"/>
  <c r="J478" i="4"/>
  <c r="I478" i="4"/>
  <c r="M477" i="4"/>
  <c r="L477" i="4"/>
  <c r="K477" i="4"/>
  <c r="J477" i="4"/>
  <c r="I477" i="4"/>
  <c r="M476" i="4"/>
  <c r="L476" i="4"/>
  <c r="K476" i="4"/>
  <c r="J476" i="4"/>
  <c r="I476" i="4"/>
  <c r="M475" i="4"/>
  <c r="L475" i="4"/>
  <c r="K475" i="4"/>
  <c r="J475" i="4"/>
  <c r="I475" i="4"/>
  <c r="M474" i="4"/>
  <c r="L474" i="4"/>
  <c r="K474" i="4"/>
  <c r="J474" i="4"/>
  <c r="I474" i="4"/>
  <c r="M473" i="4"/>
  <c r="L473" i="4"/>
  <c r="K473" i="4"/>
  <c r="J473" i="4"/>
  <c r="I473" i="4"/>
  <c r="M472" i="4"/>
  <c r="L472" i="4"/>
  <c r="K472" i="4"/>
  <c r="J472" i="4"/>
  <c r="I472" i="4"/>
  <c r="M471" i="4"/>
  <c r="L471" i="4"/>
  <c r="K471" i="4"/>
  <c r="J471" i="4"/>
  <c r="I471" i="4"/>
  <c r="M470" i="4"/>
  <c r="L470" i="4"/>
  <c r="K470" i="4"/>
  <c r="J470" i="4"/>
  <c r="I470" i="4"/>
  <c r="M469" i="4"/>
  <c r="L469" i="4"/>
  <c r="K469" i="4"/>
  <c r="J469" i="4"/>
  <c r="I469" i="4"/>
  <c r="M468" i="4"/>
  <c r="L468" i="4"/>
  <c r="K468" i="4"/>
  <c r="J468" i="4"/>
  <c r="I468" i="4"/>
  <c r="M467" i="4"/>
  <c r="L467" i="4"/>
  <c r="K467" i="4"/>
  <c r="J467" i="4"/>
  <c r="I467" i="4"/>
  <c r="M466" i="4"/>
  <c r="L466" i="4"/>
  <c r="K466" i="4"/>
  <c r="J466" i="4"/>
  <c r="I466" i="4"/>
  <c r="M465" i="4"/>
  <c r="L465" i="4"/>
  <c r="K465" i="4"/>
  <c r="J465" i="4"/>
  <c r="I465" i="4"/>
  <c r="M464" i="4"/>
  <c r="L464" i="4"/>
  <c r="K464" i="4"/>
  <c r="J464" i="4"/>
  <c r="I464" i="4"/>
  <c r="M463" i="4"/>
  <c r="L463" i="4"/>
  <c r="K463" i="4"/>
  <c r="J463" i="4"/>
  <c r="I463" i="4"/>
  <c r="M462" i="4"/>
  <c r="L462" i="4"/>
  <c r="K462" i="4"/>
  <c r="J462" i="4"/>
  <c r="I462" i="4"/>
  <c r="M461" i="4"/>
  <c r="L461" i="4"/>
  <c r="K461" i="4"/>
  <c r="J461" i="4"/>
  <c r="I461" i="4"/>
  <c r="M460" i="4"/>
  <c r="L460" i="4"/>
  <c r="K460" i="4"/>
  <c r="J460" i="4"/>
  <c r="I460" i="4"/>
  <c r="M459" i="4"/>
  <c r="L459" i="4"/>
  <c r="K459" i="4"/>
  <c r="J459" i="4"/>
  <c r="I459" i="4"/>
  <c r="M458" i="4"/>
  <c r="L458" i="4"/>
  <c r="K458" i="4"/>
  <c r="J458" i="4"/>
  <c r="I458" i="4"/>
  <c r="M457" i="4"/>
  <c r="L457" i="4"/>
  <c r="K457" i="4"/>
  <c r="J457" i="4"/>
  <c r="I457" i="4"/>
  <c r="M456" i="4"/>
  <c r="L456" i="4"/>
  <c r="K456" i="4"/>
  <c r="J456" i="4"/>
  <c r="I456" i="4"/>
  <c r="M455" i="4"/>
  <c r="L455" i="4"/>
  <c r="K455" i="4"/>
  <c r="J455" i="4"/>
  <c r="I455" i="4"/>
  <c r="M454" i="4"/>
  <c r="L454" i="4"/>
  <c r="K454" i="4"/>
  <c r="J454" i="4"/>
  <c r="I454" i="4"/>
  <c r="M453" i="4"/>
  <c r="L453" i="4"/>
  <c r="K453" i="4"/>
  <c r="J453" i="4"/>
  <c r="I453" i="4"/>
  <c r="M452" i="4"/>
  <c r="L452" i="4"/>
  <c r="K452" i="4"/>
  <c r="J452" i="4"/>
  <c r="I452" i="4"/>
  <c r="M451" i="4"/>
  <c r="L451" i="4"/>
  <c r="K451" i="4"/>
  <c r="J451" i="4"/>
  <c r="I451" i="4"/>
  <c r="M450" i="4"/>
  <c r="L450" i="4"/>
  <c r="K450" i="4"/>
  <c r="J450" i="4"/>
  <c r="I450" i="4"/>
  <c r="M449" i="4"/>
  <c r="L449" i="4"/>
  <c r="K449" i="4"/>
  <c r="J449" i="4"/>
  <c r="I449" i="4"/>
  <c r="M448" i="4"/>
  <c r="L448" i="4"/>
  <c r="K448" i="4"/>
  <c r="J448" i="4"/>
  <c r="I448" i="4"/>
  <c r="M447" i="4"/>
  <c r="L447" i="4"/>
  <c r="K447" i="4"/>
  <c r="J447" i="4"/>
  <c r="I447" i="4"/>
  <c r="M446" i="4"/>
  <c r="L446" i="4"/>
  <c r="K446" i="4"/>
  <c r="J446" i="4"/>
  <c r="I446" i="4"/>
  <c r="M445" i="4"/>
  <c r="L445" i="4"/>
  <c r="K445" i="4"/>
  <c r="J445" i="4"/>
  <c r="I445" i="4"/>
  <c r="M444" i="4"/>
  <c r="L444" i="4"/>
  <c r="K444" i="4"/>
  <c r="J444" i="4"/>
  <c r="I444" i="4"/>
  <c r="M443" i="4"/>
  <c r="L443" i="4"/>
  <c r="K443" i="4"/>
  <c r="J443" i="4"/>
  <c r="I443" i="4"/>
  <c r="M442" i="4"/>
  <c r="L442" i="4"/>
  <c r="K442" i="4"/>
  <c r="J442" i="4"/>
  <c r="I442" i="4"/>
  <c r="M441" i="4"/>
  <c r="L441" i="4"/>
  <c r="K441" i="4"/>
  <c r="J441" i="4"/>
  <c r="I441" i="4"/>
  <c r="M440" i="4"/>
  <c r="L440" i="4"/>
  <c r="K440" i="4"/>
  <c r="J440" i="4"/>
  <c r="I440" i="4"/>
  <c r="M439" i="4"/>
  <c r="L439" i="4"/>
  <c r="K439" i="4"/>
  <c r="J439" i="4"/>
  <c r="I439" i="4"/>
  <c r="M438" i="4"/>
  <c r="L438" i="4"/>
  <c r="K438" i="4"/>
  <c r="J438" i="4"/>
  <c r="I438" i="4"/>
  <c r="M437" i="4"/>
  <c r="L437" i="4"/>
  <c r="K437" i="4"/>
  <c r="J437" i="4"/>
  <c r="I437" i="4"/>
  <c r="M436" i="4"/>
  <c r="L436" i="4"/>
  <c r="K436" i="4"/>
  <c r="J436" i="4"/>
  <c r="I436" i="4"/>
  <c r="M435" i="4"/>
  <c r="L435" i="4"/>
  <c r="K435" i="4"/>
  <c r="J435" i="4"/>
  <c r="I435" i="4"/>
  <c r="M434" i="4"/>
  <c r="L434" i="4"/>
  <c r="K434" i="4"/>
  <c r="J434" i="4"/>
  <c r="I434" i="4"/>
  <c r="M433" i="4"/>
  <c r="L433" i="4"/>
  <c r="K433" i="4"/>
  <c r="J433" i="4"/>
  <c r="I433" i="4"/>
  <c r="M432" i="4"/>
  <c r="L432" i="4"/>
  <c r="K432" i="4"/>
  <c r="J432" i="4"/>
  <c r="I432" i="4"/>
  <c r="M431" i="4"/>
  <c r="L431" i="4"/>
  <c r="K431" i="4"/>
  <c r="J431" i="4"/>
  <c r="I431" i="4"/>
  <c r="M430" i="4"/>
  <c r="L430" i="4"/>
  <c r="K430" i="4"/>
  <c r="J430" i="4"/>
  <c r="I430" i="4"/>
  <c r="M429" i="4"/>
  <c r="L429" i="4"/>
  <c r="K429" i="4"/>
  <c r="J429" i="4"/>
  <c r="I429" i="4"/>
  <c r="M428" i="4"/>
  <c r="L428" i="4"/>
  <c r="K428" i="4"/>
  <c r="J428" i="4"/>
  <c r="I428" i="4"/>
  <c r="M427" i="4"/>
  <c r="L427" i="4"/>
  <c r="K427" i="4"/>
  <c r="J427" i="4"/>
  <c r="I427" i="4"/>
  <c r="M426" i="4"/>
  <c r="L426" i="4"/>
  <c r="K426" i="4"/>
  <c r="J426" i="4"/>
  <c r="I426" i="4"/>
  <c r="M425" i="4"/>
  <c r="L425" i="4"/>
  <c r="K425" i="4"/>
  <c r="J425" i="4"/>
  <c r="I425" i="4"/>
  <c r="M424" i="4"/>
  <c r="L424" i="4"/>
  <c r="K424" i="4"/>
  <c r="J424" i="4"/>
  <c r="I424" i="4"/>
  <c r="M423" i="4"/>
  <c r="L423" i="4"/>
  <c r="K423" i="4"/>
  <c r="J423" i="4"/>
  <c r="I423" i="4"/>
  <c r="M422" i="4"/>
  <c r="L422" i="4"/>
  <c r="K422" i="4"/>
  <c r="J422" i="4"/>
  <c r="I422" i="4"/>
  <c r="M421" i="4"/>
  <c r="L421" i="4"/>
  <c r="K421" i="4"/>
  <c r="J421" i="4"/>
  <c r="I421" i="4"/>
  <c r="M420" i="4"/>
  <c r="L420" i="4"/>
  <c r="K420" i="4"/>
  <c r="J420" i="4"/>
  <c r="I420" i="4"/>
  <c r="M419" i="4"/>
  <c r="L419" i="4"/>
  <c r="K419" i="4"/>
  <c r="J419" i="4"/>
  <c r="I419" i="4"/>
  <c r="M418" i="4"/>
  <c r="L418" i="4"/>
  <c r="K418" i="4"/>
  <c r="J418" i="4"/>
  <c r="I418" i="4"/>
  <c r="M417" i="4"/>
  <c r="L417" i="4"/>
  <c r="K417" i="4"/>
  <c r="J417" i="4"/>
  <c r="I417" i="4"/>
  <c r="M416" i="4"/>
  <c r="L416" i="4"/>
  <c r="K416" i="4"/>
  <c r="J416" i="4"/>
  <c r="I416" i="4"/>
  <c r="M415" i="4"/>
  <c r="L415" i="4"/>
  <c r="K415" i="4"/>
  <c r="J415" i="4"/>
  <c r="I415" i="4"/>
  <c r="M414" i="4"/>
  <c r="L414" i="4"/>
  <c r="K414" i="4"/>
  <c r="J414" i="4"/>
  <c r="I414" i="4"/>
  <c r="M413" i="4"/>
  <c r="L413" i="4"/>
  <c r="K413" i="4"/>
  <c r="J413" i="4"/>
  <c r="I413" i="4"/>
  <c r="M412" i="4"/>
  <c r="L412" i="4"/>
  <c r="K412" i="4"/>
  <c r="J412" i="4"/>
  <c r="I412" i="4"/>
  <c r="M411" i="4"/>
  <c r="L411" i="4"/>
  <c r="K411" i="4"/>
  <c r="J411" i="4"/>
  <c r="I411" i="4"/>
  <c r="M410" i="4"/>
  <c r="L410" i="4"/>
  <c r="K410" i="4"/>
  <c r="J410" i="4"/>
  <c r="I410" i="4"/>
  <c r="M409" i="4"/>
  <c r="L409" i="4"/>
  <c r="K409" i="4"/>
  <c r="J409" i="4"/>
  <c r="I409" i="4"/>
  <c r="M408" i="4"/>
  <c r="L408" i="4"/>
  <c r="K408" i="4"/>
  <c r="J408" i="4"/>
  <c r="I408" i="4"/>
  <c r="M407" i="4"/>
  <c r="L407" i="4"/>
  <c r="K407" i="4"/>
  <c r="J407" i="4"/>
  <c r="I407" i="4"/>
  <c r="M406" i="4"/>
  <c r="L406" i="4"/>
  <c r="K406" i="4"/>
  <c r="J406" i="4"/>
  <c r="I406" i="4"/>
  <c r="M405" i="4"/>
  <c r="L405" i="4"/>
  <c r="K405" i="4"/>
  <c r="J405" i="4"/>
  <c r="I405" i="4"/>
  <c r="M404" i="4"/>
  <c r="L404" i="4"/>
  <c r="K404" i="4"/>
  <c r="J404" i="4"/>
  <c r="I404" i="4"/>
  <c r="M403" i="4"/>
  <c r="L403" i="4"/>
  <c r="K403" i="4"/>
  <c r="J403" i="4"/>
  <c r="I403" i="4"/>
  <c r="M402" i="4"/>
  <c r="L402" i="4"/>
  <c r="K402" i="4"/>
  <c r="J402" i="4"/>
  <c r="I402" i="4"/>
  <c r="M401" i="4"/>
  <c r="L401" i="4"/>
  <c r="K401" i="4"/>
  <c r="J401" i="4"/>
  <c r="I401" i="4"/>
  <c r="M400" i="4"/>
  <c r="L400" i="4"/>
  <c r="K400" i="4"/>
  <c r="J400" i="4"/>
  <c r="I400" i="4"/>
  <c r="M399" i="4"/>
  <c r="L399" i="4"/>
  <c r="K399" i="4"/>
  <c r="J399" i="4"/>
  <c r="I399" i="4"/>
  <c r="M398" i="4"/>
  <c r="L398" i="4"/>
  <c r="K398" i="4"/>
  <c r="J398" i="4"/>
  <c r="I398" i="4"/>
  <c r="M397" i="4"/>
  <c r="L397" i="4"/>
  <c r="K397" i="4"/>
  <c r="J397" i="4"/>
  <c r="I397" i="4"/>
  <c r="M396" i="4"/>
  <c r="L396" i="4"/>
  <c r="K396" i="4"/>
  <c r="J396" i="4"/>
  <c r="I396" i="4"/>
  <c r="M395" i="4"/>
  <c r="L395" i="4"/>
  <c r="K395" i="4"/>
  <c r="J395" i="4"/>
  <c r="I395" i="4"/>
  <c r="M394" i="4"/>
  <c r="L394" i="4"/>
  <c r="K394" i="4"/>
  <c r="J394" i="4"/>
  <c r="I394" i="4"/>
  <c r="M393" i="4"/>
  <c r="L393" i="4"/>
  <c r="K393" i="4"/>
  <c r="J393" i="4"/>
  <c r="I393" i="4"/>
  <c r="M392" i="4"/>
  <c r="L392" i="4"/>
  <c r="K392" i="4"/>
  <c r="J392" i="4"/>
  <c r="I392" i="4"/>
  <c r="M391" i="4"/>
  <c r="L391" i="4"/>
  <c r="K391" i="4"/>
  <c r="J391" i="4"/>
  <c r="I391" i="4"/>
  <c r="M390" i="4"/>
  <c r="L390" i="4"/>
  <c r="K390" i="4"/>
  <c r="J390" i="4"/>
  <c r="I390" i="4"/>
  <c r="M389" i="4"/>
  <c r="L389" i="4"/>
  <c r="K389" i="4"/>
  <c r="J389" i="4"/>
  <c r="I389" i="4"/>
  <c r="M388" i="4"/>
  <c r="L388" i="4"/>
  <c r="K388" i="4"/>
  <c r="J388" i="4"/>
  <c r="I388" i="4"/>
  <c r="M387" i="4"/>
  <c r="L387" i="4"/>
  <c r="K387" i="4"/>
  <c r="J387" i="4"/>
  <c r="I387" i="4"/>
  <c r="M386" i="4"/>
  <c r="L386" i="4"/>
  <c r="K386" i="4"/>
  <c r="J386" i="4"/>
  <c r="I386" i="4"/>
  <c r="M385" i="4"/>
  <c r="L385" i="4"/>
  <c r="K385" i="4"/>
  <c r="J385" i="4"/>
  <c r="I385" i="4"/>
  <c r="M384" i="4"/>
  <c r="L384" i="4"/>
  <c r="K384" i="4"/>
  <c r="J384" i="4"/>
  <c r="I384" i="4"/>
  <c r="M383" i="4"/>
  <c r="L383" i="4"/>
  <c r="K383" i="4"/>
  <c r="J383" i="4"/>
  <c r="I383" i="4"/>
  <c r="M382" i="4"/>
  <c r="L382" i="4"/>
  <c r="K382" i="4"/>
  <c r="J382" i="4"/>
  <c r="I382" i="4"/>
  <c r="M381" i="4"/>
  <c r="L381" i="4"/>
  <c r="K381" i="4"/>
  <c r="J381" i="4"/>
  <c r="I381" i="4"/>
  <c r="M380" i="4"/>
  <c r="L380" i="4"/>
  <c r="K380" i="4"/>
  <c r="J380" i="4"/>
  <c r="I380" i="4"/>
  <c r="M379" i="4"/>
  <c r="L379" i="4"/>
  <c r="K379" i="4"/>
  <c r="J379" i="4"/>
  <c r="I379" i="4"/>
  <c r="M378" i="4"/>
  <c r="L378" i="4"/>
  <c r="K378" i="4"/>
  <c r="J378" i="4"/>
  <c r="I378" i="4"/>
  <c r="M377" i="4"/>
  <c r="L377" i="4"/>
  <c r="K377" i="4"/>
  <c r="J377" i="4"/>
  <c r="I377" i="4"/>
  <c r="M376" i="4"/>
  <c r="L376" i="4"/>
  <c r="K376" i="4"/>
  <c r="J376" i="4"/>
  <c r="I376" i="4"/>
  <c r="M375" i="4"/>
  <c r="L375" i="4"/>
  <c r="K375" i="4"/>
  <c r="J375" i="4"/>
  <c r="I375" i="4"/>
  <c r="M374" i="4"/>
  <c r="L374" i="4"/>
  <c r="K374" i="4"/>
  <c r="J374" i="4"/>
  <c r="I374" i="4"/>
  <c r="M373" i="4"/>
  <c r="L373" i="4"/>
  <c r="K373" i="4"/>
  <c r="J373" i="4"/>
  <c r="I373" i="4"/>
  <c r="M372" i="4"/>
  <c r="L372" i="4"/>
  <c r="K372" i="4"/>
  <c r="J372" i="4"/>
  <c r="I372" i="4"/>
  <c r="M371" i="4"/>
  <c r="L371" i="4"/>
  <c r="K371" i="4"/>
  <c r="J371" i="4"/>
  <c r="I371" i="4"/>
  <c r="M370" i="4"/>
  <c r="L370" i="4"/>
  <c r="K370" i="4"/>
  <c r="J370" i="4"/>
  <c r="I370" i="4"/>
  <c r="M369" i="4"/>
  <c r="L369" i="4"/>
  <c r="K369" i="4"/>
  <c r="J369" i="4"/>
  <c r="I369" i="4"/>
  <c r="M368" i="4"/>
  <c r="L368" i="4"/>
  <c r="K368" i="4"/>
  <c r="J368" i="4"/>
  <c r="I368" i="4"/>
  <c r="M367" i="4"/>
  <c r="L367" i="4"/>
  <c r="K367" i="4"/>
  <c r="J367" i="4"/>
  <c r="I367" i="4"/>
  <c r="M366" i="4"/>
  <c r="L366" i="4"/>
  <c r="K366" i="4"/>
  <c r="J366" i="4"/>
  <c r="I366" i="4"/>
  <c r="M365" i="4"/>
  <c r="L365" i="4"/>
  <c r="K365" i="4"/>
  <c r="J365" i="4"/>
  <c r="I365" i="4"/>
  <c r="M364" i="4"/>
  <c r="L364" i="4"/>
  <c r="K364" i="4"/>
  <c r="J364" i="4"/>
  <c r="I364" i="4"/>
  <c r="M363" i="4"/>
  <c r="L363" i="4"/>
  <c r="K363" i="4"/>
  <c r="J363" i="4"/>
  <c r="I363" i="4"/>
  <c r="M362" i="4"/>
  <c r="L362" i="4"/>
  <c r="K362" i="4"/>
  <c r="J362" i="4"/>
  <c r="I362" i="4"/>
  <c r="M361" i="4"/>
  <c r="L361" i="4"/>
  <c r="K361" i="4"/>
  <c r="J361" i="4"/>
  <c r="I361" i="4"/>
  <c r="M360" i="4"/>
  <c r="L360" i="4"/>
  <c r="K360" i="4"/>
  <c r="J360" i="4"/>
  <c r="I360" i="4"/>
  <c r="M359" i="4"/>
  <c r="L359" i="4"/>
  <c r="K359" i="4"/>
  <c r="J359" i="4"/>
  <c r="I359" i="4"/>
  <c r="M358" i="4"/>
  <c r="L358" i="4"/>
  <c r="K358" i="4"/>
  <c r="J358" i="4"/>
  <c r="I358" i="4"/>
  <c r="M357" i="4"/>
  <c r="L357" i="4"/>
  <c r="K357" i="4"/>
  <c r="J357" i="4"/>
  <c r="I357" i="4"/>
  <c r="M356" i="4"/>
  <c r="L356" i="4"/>
  <c r="K356" i="4"/>
  <c r="J356" i="4"/>
  <c r="I356" i="4"/>
  <c r="M355" i="4"/>
  <c r="L355" i="4"/>
  <c r="K355" i="4"/>
  <c r="J355" i="4"/>
  <c r="I355" i="4"/>
  <c r="M354" i="4"/>
  <c r="L354" i="4"/>
  <c r="K354" i="4"/>
  <c r="J354" i="4"/>
  <c r="I354" i="4"/>
  <c r="M353" i="4"/>
  <c r="L353" i="4"/>
  <c r="K353" i="4"/>
  <c r="J353" i="4"/>
  <c r="I353" i="4"/>
  <c r="M352" i="4"/>
  <c r="L352" i="4"/>
  <c r="K352" i="4"/>
  <c r="J352" i="4"/>
  <c r="I352" i="4"/>
  <c r="M351" i="4"/>
  <c r="L351" i="4"/>
  <c r="K351" i="4"/>
  <c r="J351" i="4"/>
  <c r="I351" i="4"/>
  <c r="M350" i="4"/>
  <c r="L350" i="4"/>
  <c r="K350" i="4"/>
  <c r="J350" i="4"/>
  <c r="I350" i="4"/>
  <c r="M349" i="4"/>
  <c r="L349" i="4"/>
  <c r="K349" i="4"/>
  <c r="J349" i="4"/>
  <c r="I349" i="4"/>
  <c r="M348" i="4"/>
  <c r="L348" i="4"/>
  <c r="K348" i="4"/>
  <c r="J348" i="4"/>
  <c r="I348" i="4"/>
  <c r="M347" i="4"/>
  <c r="L347" i="4"/>
  <c r="K347" i="4"/>
  <c r="J347" i="4"/>
  <c r="I347" i="4"/>
  <c r="M346" i="4"/>
  <c r="L346" i="4"/>
  <c r="K346" i="4"/>
  <c r="J346" i="4"/>
  <c r="I346" i="4"/>
  <c r="M345" i="4"/>
  <c r="L345" i="4"/>
  <c r="K345" i="4"/>
  <c r="J345" i="4"/>
  <c r="I345" i="4"/>
  <c r="M344" i="4"/>
  <c r="L344" i="4"/>
  <c r="K344" i="4"/>
  <c r="J344" i="4"/>
  <c r="I344" i="4"/>
  <c r="M343" i="4"/>
  <c r="L343" i="4"/>
  <c r="K343" i="4"/>
  <c r="J343" i="4"/>
  <c r="I343" i="4"/>
  <c r="M342" i="4"/>
  <c r="L342" i="4"/>
  <c r="K342" i="4"/>
  <c r="J342" i="4"/>
  <c r="I342" i="4"/>
  <c r="M341" i="4"/>
  <c r="L341" i="4"/>
  <c r="K341" i="4"/>
  <c r="J341" i="4"/>
  <c r="I341" i="4"/>
  <c r="M340" i="4"/>
  <c r="L340" i="4"/>
  <c r="K340" i="4"/>
  <c r="J340" i="4"/>
  <c r="I340" i="4"/>
  <c r="M339" i="4"/>
  <c r="L339" i="4"/>
  <c r="K339" i="4"/>
  <c r="J339" i="4"/>
  <c r="I339" i="4"/>
  <c r="M338" i="4"/>
  <c r="L338" i="4"/>
  <c r="K338" i="4"/>
  <c r="J338" i="4"/>
  <c r="I338" i="4"/>
  <c r="M337" i="4"/>
  <c r="L337" i="4"/>
  <c r="K337" i="4"/>
  <c r="J337" i="4"/>
  <c r="I337" i="4"/>
  <c r="M336" i="4"/>
  <c r="L336" i="4"/>
  <c r="K336" i="4"/>
  <c r="J336" i="4"/>
  <c r="I336" i="4"/>
  <c r="M335" i="4"/>
  <c r="L335" i="4"/>
  <c r="K335" i="4"/>
  <c r="J335" i="4"/>
  <c r="I335" i="4"/>
  <c r="M334" i="4"/>
  <c r="L334" i="4"/>
  <c r="K334" i="4"/>
  <c r="J334" i="4"/>
  <c r="I334" i="4"/>
  <c r="M333" i="4"/>
  <c r="L333" i="4"/>
  <c r="K333" i="4"/>
  <c r="J333" i="4"/>
  <c r="I333" i="4"/>
  <c r="M332" i="4"/>
  <c r="L332" i="4"/>
  <c r="K332" i="4"/>
  <c r="J332" i="4"/>
  <c r="I332" i="4"/>
  <c r="M331" i="4"/>
  <c r="L331" i="4"/>
  <c r="K331" i="4"/>
  <c r="J331" i="4"/>
  <c r="I331" i="4"/>
  <c r="M330" i="4"/>
  <c r="L330" i="4"/>
  <c r="K330" i="4"/>
  <c r="J330" i="4"/>
  <c r="I330" i="4"/>
  <c r="M329" i="4"/>
  <c r="L329" i="4"/>
  <c r="K329" i="4"/>
  <c r="J329" i="4"/>
  <c r="I329" i="4"/>
  <c r="M328" i="4"/>
  <c r="L328" i="4"/>
  <c r="K328" i="4"/>
  <c r="J328" i="4"/>
  <c r="I328" i="4"/>
  <c r="M327" i="4"/>
  <c r="L327" i="4"/>
  <c r="K327" i="4"/>
  <c r="J327" i="4"/>
  <c r="I327" i="4"/>
  <c r="M326" i="4"/>
  <c r="L326" i="4"/>
  <c r="K326" i="4"/>
  <c r="J326" i="4"/>
  <c r="I326" i="4"/>
  <c r="M325" i="4"/>
  <c r="L325" i="4"/>
  <c r="K325" i="4"/>
  <c r="J325" i="4"/>
  <c r="I325" i="4"/>
  <c r="M324" i="4"/>
  <c r="L324" i="4"/>
  <c r="K324" i="4"/>
  <c r="J324" i="4"/>
  <c r="I324" i="4"/>
  <c r="M323" i="4"/>
  <c r="L323" i="4"/>
  <c r="K323" i="4"/>
  <c r="J323" i="4"/>
  <c r="I323" i="4"/>
  <c r="M322" i="4"/>
  <c r="L322" i="4"/>
  <c r="K322" i="4"/>
  <c r="J322" i="4"/>
  <c r="I322" i="4"/>
  <c r="M321" i="4"/>
  <c r="L321" i="4"/>
  <c r="K321" i="4"/>
  <c r="J321" i="4"/>
  <c r="I321" i="4"/>
  <c r="M320" i="4"/>
  <c r="L320" i="4"/>
  <c r="K320" i="4"/>
  <c r="J320" i="4"/>
  <c r="I320" i="4"/>
  <c r="M319" i="4"/>
  <c r="L319" i="4"/>
  <c r="K319" i="4"/>
  <c r="J319" i="4"/>
  <c r="I319" i="4"/>
  <c r="M318" i="4"/>
  <c r="L318" i="4"/>
  <c r="K318" i="4"/>
  <c r="J318" i="4"/>
  <c r="I318" i="4"/>
  <c r="M317" i="4"/>
  <c r="L317" i="4"/>
  <c r="K317" i="4"/>
  <c r="J317" i="4"/>
  <c r="I317" i="4"/>
  <c r="M316" i="4"/>
  <c r="L316" i="4"/>
  <c r="K316" i="4"/>
  <c r="J316" i="4"/>
  <c r="I316" i="4"/>
  <c r="M315" i="4"/>
  <c r="L315" i="4"/>
  <c r="K315" i="4"/>
  <c r="J315" i="4"/>
  <c r="I315" i="4"/>
  <c r="M314" i="4"/>
  <c r="L314" i="4"/>
  <c r="K314" i="4"/>
  <c r="J314" i="4"/>
  <c r="I314" i="4"/>
  <c r="M313" i="4"/>
  <c r="L313" i="4"/>
  <c r="K313" i="4"/>
  <c r="J313" i="4"/>
  <c r="I313" i="4"/>
  <c r="M312" i="4"/>
  <c r="L312" i="4"/>
  <c r="K312" i="4"/>
  <c r="J312" i="4"/>
  <c r="I312" i="4"/>
  <c r="M311" i="4"/>
  <c r="L311" i="4"/>
  <c r="K311" i="4"/>
  <c r="J311" i="4"/>
  <c r="I311" i="4"/>
  <c r="M310" i="4"/>
  <c r="L310" i="4"/>
  <c r="K310" i="4"/>
  <c r="J310" i="4"/>
  <c r="I310" i="4"/>
  <c r="M309" i="4"/>
  <c r="L309" i="4"/>
  <c r="K309" i="4"/>
  <c r="J309" i="4"/>
  <c r="I309" i="4"/>
  <c r="M308" i="4"/>
  <c r="L308" i="4"/>
  <c r="K308" i="4"/>
  <c r="J308" i="4"/>
  <c r="I308" i="4"/>
  <c r="M307" i="4"/>
  <c r="L307" i="4"/>
  <c r="K307" i="4"/>
  <c r="J307" i="4"/>
  <c r="I307" i="4"/>
  <c r="M306" i="4"/>
  <c r="L306" i="4"/>
  <c r="K306" i="4"/>
  <c r="J306" i="4"/>
  <c r="I306" i="4"/>
  <c r="M305" i="4"/>
  <c r="L305" i="4"/>
  <c r="K305" i="4"/>
  <c r="J305" i="4"/>
  <c r="I305" i="4"/>
  <c r="M304" i="4"/>
  <c r="L304" i="4"/>
  <c r="K304" i="4"/>
  <c r="J304" i="4"/>
  <c r="I304" i="4"/>
  <c r="M303" i="4"/>
  <c r="L303" i="4"/>
  <c r="K303" i="4"/>
  <c r="J303" i="4"/>
  <c r="I303" i="4"/>
  <c r="M302" i="4"/>
  <c r="L302" i="4"/>
  <c r="K302" i="4"/>
  <c r="J302" i="4"/>
  <c r="I302" i="4"/>
  <c r="M301" i="4"/>
  <c r="L301" i="4"/>
  <c r="K301" i="4"/>
  <c r="J301" i="4"/>
  <c r="I301" i="4"/>
  <c r="M300" i="4"/>
  <c r="L300" i="4"/>
  <c r="K300" i="4"/>
  <c r="J300" i="4"/>
  <c r="I300" i="4"/>
  <c r="M299" i="4"/>
  <c r="L299" i="4"/>
  <c r="K299" i="4"/>
  <c r="J299" i="4"/>
  <c r="I299" i="4"/>
  <c r="M298" i="4"/>
  <c r="L298" i="4"/>
  <c r="K298" i="4"/>
  <c r="J298" i="4"/>
  <c r="I298" i="4"/>
  <c r="M297" i="4"/>
  <c r="L297" i="4"/>
  <c r="K297" i="4"/>
  <c r="J297" i="4"/>
  <c r="I297" i="4"/>
  <c r="M296" i="4"/>
  <c r="L296" i="4"/>
  <c r="K296" i="4"/>
  <c r="J296" i="4"/>
  <c r="I296" i="4"/>
  <c r="M295" i="4"/>
  <c r="L295" i="4"/>
  <c r="K295" i="4"/>
  <c r="J295" i="4"/>
  <c r="I295" i="4"/>
  <c r="M294" i="4"/>
  <c r="L294" i="4"/>
  <c r="K294" i="4"/>
  <c r="J294" i="4"/>
  <c r="I294" i="4"/>
  <c r="M293" i="4"/>
  <c r="L293" i="4"/>
  <c r="K293" i="4"/>
  <c r="J293" i="4"/>
  <c r="I293" i="4"/>
  <c r="M292" i="4"/>
  <c r="L292" i="4"/>
  <c r="K292" i="4"/>
  <c r="J292" i="4"/>
  <c r="I292" i="4"/>
  <c r="M291" i="4"/>
  <c r="L291" i="4"/>
  <c r="K291" i="4"/>
  <c r="J291" i="4"/>
  <c r="I291" i="4"/>
  <c r="M290" i="4"/>
  <c r="L290" i="4"/>
  <c r="K290" i="4"/>
  <c r="J290" i="4"/>
  <c r="I290" i="4"/>
  <c r="M289" i="4"/>
  <c r="L289" i="4"/>
  <c r="K289" i="4"/>
  <c r="J289" i="4"/>
  <c r="I289" i="4"/>
  <c r="M288" i="4"/>
  <c r="L288" i="4"/>
  <c r="K288" i="4"/>
  <c r="J288" i="4"/>
  <c r="I288" i="4"/>
  <c r="M287" i="4"/>
  <c r="L287" i="4"/>
  <c r="K287" i="4"/>
  <c r="J287" i="4"/>
  <c r="I287" i="4"/>
  <c r="M286" i="4"/>
  <c r="L286" i="4"/>
  <c r="K286" i="4"/>
  <c r="J286" i="4"/>
  <c r="I286" i="4"/>
  <c r="M285" i="4"/>
  <c r="L285" i="4"/>
  <c r="K285" i="4"/>
  <c r="J285" i="4"/>
  <c r="I285" i="4"/>
  <c r="M284" i="4"/>
  <c r="L284" i="4"/>
  <c r="K284" i="4"/>
  <c r="J284" i="4"/>
  <c r="I284" i="4"/>
  <c r="M283" i="4"/>
  <c r="L283" i="4"/>
  <c r="K283" i="4"/>
  <c r="J283" i="4"/>
  <c r="I283" i="4"/>
  <c r="M282" i="4"/>
  <c r="L282" i="4"/>
  <c r="K282" i="4"/>
  <c r="J282" i="4"/>
  <c r="I282" i="4"/>
  <c r="M281" i="4"/>
  <c r="L281" i="4"/>
  <c r="K281" i="4"/>
  <c r="J281" i="4"/>
  <c r="I281" i="4"/>
  <c r="M280" i="4"/>
  <c r="L280" i="4"/>
  <c r="K280" i="4"/>
  <c r="J280" i="4"/>
  <c r="I280" i="4"/>
  <c r="M279" i="4"/>
  <c r="L279" i="4"/>
  <c r="K279" i="4"/>
  <c r="J279" i="4"/>
  <c r="I279" i="4"/>
  <c r="M278" i="4"/>
  <c r="L278" i="4"/>
  <c r="K278" i="4"/>
  <c r="J278" i="4"/>
  <c r="I278" i="4"/>
  <c r="M277" i="4"/>
  <c r="L277" i="4"/>
  <c r="K277" i="4"/>
  <c r="J277" i="4"/>
  <c r="I277" i="4"/>
  <c r="M276" i="4"/>
  <c r="L276" i="4"/>
  <c r="K276" i="4"/>
  <c r="J276" i="4"/>
  <c r="I276" i="4"/>
  <c r="M275" i="4"/>
  <c r="L275" i="4"/>
  <c r="K275" i="4"/>
  <c r="J275" i="4"/>
  <c r="I275" i="4"/>
  <c r="M274" i="4"/>
  <c r="L274" i="4"/>
  <c r="K274" i="4"/>
  <c r="J274" i="4"/>
  <c r="I274" i="4"/>
  <c r="M273" i="4"/>
  <c r="L273" i="4"/>
  <c r="K273" i="4"/>
  <c r="J273" i="4"/>
  <c r="I273" i="4"/>
  <c r="M272" i="4"/>
  <c r="L272" i="4"/>
  <c r="K272" i="4"/>
  <c r="J272" i="4"/>
  <c r="I272" i="4"/>
  <c r="M271" i="4"/>
  <c r="L271" i="4"/>
  <c r="K271" i="4"/>
  <c r="J271" i="4"/>
  <c r="I271" i="4"/>
  <c r="M270" i="4"/>
  <c r="L270" i="4"/>
  <c r="K270" i="4"/>
  <c r="J270" i="4"/>
  <c r="I270" i="4"/>
  <c r="M269" i="4"/>
  <c r="L269" i="4"/>
  <c r="K269" i="4"/>
  <c r="J269" i="4"/>
  <c r="I269" i="4"/>
  <c r="M268" i="4"/>
  <c r="L268" i="4"/>
  <c r="K268" i="4"/>
  <c r="J268" i="4"/>
  <c r="I268" i="4"/>
  <c r="M267" i="4"/>
  <c r="L267" i="4"/>
  <c r="K267" i="4"/>
  <c r="J267" i="4"/>
  <c r="I267" i="4"/>
  <c r="M266" i="4"/>
  <c r="L266" i="4"/>
  <c r="K266" i="4"/>
  <c r="J266" i="4"/>
  <c r="I266" i="4"/>
  <c r="M265" i="4"/>
  <c r="L265" i="4"/>
  <c r="K265" i="4"/>
  <c r="J265" i="4"/>
  <c r="I265" i="4"/>
  <c r="M264" i="4"/>
  <c r="L264" i="4"/>
  <c r="K264" i="4"/>
  <c r="J264" i="4"/>
  <c r="I264" i="4"/>
  <c r="M263" i="4"/>
  <c r="L263" i="4"/>
  <c r="K263" i="4"/>
  <c r="J263" i="4"/>
  <c r="I263" i="4"/>
  <c r="M262" i="4"/>
  <c r="L262" i="4"/>
  <c r="K262" i="4"/>
  <c r="J262" i="4"/>
  <c r="I262" i="4"/>
  <c r="M261" i="4"/>
  <c r="L261" i="4"/>
  <c r="K261" i="4"/>
  <c r="J261" i="4"/>
  <c r="I261" i="4"/>
  <c r="M260" i="4"/>
  <c r="L260" i="4"/>
  <c r="K260" i="4"/>
  <c r="J260" i="4"/>
  <c r="I260" i="4"/>
  <c r="M259" i="4"/>
  <c r="L259" i="4"/>
  <c r="K259" i="4"/>
  <c r="J259" i="4"/>
  <c r="I259" i="4"/>
  <c r="M258" i="4"/>
  <c r="L258" i="4"/>
  <c r="K258" i="4"/>
  <c r="J258" i="4"/>
  <c r="I258" i="4"/>
  <c r="M257" i="4"/>
  <c r="L257" i="4"/>
  <c r="K257" i="4"/>
  <c r="J257" i="4"/>
  <c r="I257" i="4"/>
  <c r="M256" i="4"/>
  <c r="L256" i="4"/>
  <c r="K256" i="4"/>
  <c r="J256" i="4"/>
  <c r="I256" i="4"/>
  <c r="M255" i="4"/>
  <c r="L255" i="4"/>
  <c r="K255" i="4"/>
  <c r="J255" i="4"/>
  <c r="I255" i="4"/>
  <c r="M254" i="4"/>
  <c r="L254" i="4"/>
  <c r="K254" i="4"/>
  <c r="J254" i="4"/>
  <c r="I254" i="4"/>
  <c r="M253" i="4"/>
  <c r="L253" i="4"/>
  <c r="K253" i="4"/>
  <c r="J253" i="4"/>
  <c r="I253" i="4"/>
  <c r="M252" i="4"/>
  <c r="L252" i="4"/>
  <c r="K252" i="4"/>
  <c r="J252" i="4"/>
  <c r="I252" i="4"/>
  <c r="M251" i="4"/>
  <c r="L251" i="4"/>
  <c r="K251" i="4"/>
  <c r="J251" i="4"/>
  <c r="I251" i="4"/>
  <c r="M250" i="4"/>
  <c r="L250" i="4"/>
  <c r="K250" i="4"/>
  <c r="J250" i="4"/>
  <c r="I250" i="4"/>
  <c r="M249" i="4"/>
  <c r="L249" i="4"/>
  <c r="K249" i="4"/>
  <c r="J249" i="4"/>
  <c r="I249" i="4"/>
  <c r="M248" i="4"/>
  <c r="L248" i="4"/>
  <c r="K248" i="4"/>
  <c r="J248" i="4"/>
  <c r="I248" i="4"/>
  <c r="M247" i="4"/>
  <c r="L247" i="4"/>
  <c r="K247" i="4"/>
  <c r="J247" i="4"/>
  <c r="I247" i="4"/>
  <c r="M246" i="4"/>
  <c r="L246" i="4"/>
  <c r="K246" i="4"/>
  <c r="J246" i="4"/>
  <c r="I246" i="4"/>
  <c r="M245" i="4"/>
  <c r="L245" i="4"/>
  <c r="K245" i="4"/>
  <c r="J245" i="4"/>
  <c r="I245" i="4"/>
  <c r="M244" i="4"/>
  <c r="L244" i="4"/>
  <c r="K244" i="4"/>
  <c r="J244" i="4"/>
  <c r="I244" i="4"/>
  <c r="M243" i="4"/>
  <c r="L243" i="4"/>
  <c r="K243" i="4"/>
  <c r="J243" i="4"/>
  <c r="I243" i="4"/>
  <c r="M242" i="4"/>
  <c r="L242" i="4"/>
  <c r="K242" i="4"/>
  <c r="J242" i="4"/>
  <c r="I242" i="4"/>
  <c r="M241" i="4"/>
  <c r="L241" i="4"/>
  <c r="K241" i="4"/>
  <c r="J241" i="4"/>
  <c r="I241" i="4"/>
  <c r="M240" i="4"/>
  <c r="L240" i="4"/>
  <c r="K240" i="4"/>
  <c r="J240" i="4"/>
  <c r="I240" i="4"/>
  <c r="M239" i="4"/>
  <c r="L239" i="4"/>
  <c r="K239" i="4"/>
  <c r="J239" i="4"/>
  <c r="I239" i="4"/>
  <c r="M238" i="4"/>
  <c r="L238" i="4"/>
  <c r="K238" i="4"/>
  <c r="J238" i="4"/>
  <c r="I238" i="4"/>
  <c r="M237" i="4"/>
  <c r="L237" i="4"/>
  <c r="K237" i="4"/>
  <c r="J237" i="4"/>
  <c r="I237" i="4"/>
  <c r="M236" i="4"/>
  <c r="L236" i="4"/>
  <c r="K236" i="4"/>
  <c r="J236" i="4"/>
  <c r="I236" i="4"/>
  <c r="M235" i="4"/>
  <c r="L235" i="4"/>
  <c r="K235" i="4"/>
  <c r="J235" i="4"/>
  <c r="I235" i="4"/>
  <c r="M234" i="4"/>
  <c r="L234" i="4"/>
  <c r="K234" i="4"/>
  <c r="J234" i="4"/>
  <c r="I234" i="4"/>
  <c r="M233" i="4"/>
  <c r="L233" i="4"/>
  <c r="K233" i="4"/>
  <c r="J233" i="4"/>
  <c r="I233" i="4"/>
  <c r="M232" i="4"/>
  <c r="L232" i="4"/>
  <c r="K232" i="4"/>
  <c r="J232" i="4"/>
  <c r="I232" i="4"/>
  <c r="M231" i="4"/>
  <c r="L231" i="4"/>
  <c r="K231" i="4"/>
  <c r="J231" i="4"/>
  <c r="I231" i="4"/>
  <c r="M230" i="4"/>
  <c r="L230" i="4"/>
  <c r="K230" i="4"/>
  <c r="J230" i="4"/>
  <c r="I230" i="4"/>
  <c r="M229" i="4"/>
  <c r="L229" i="4"/>
  <c r="K229" i="4"/>
  <c r="J229" i="4"/>
  <c r="I229" i="4"/>
  <c r="M228" i="4"/>
  <c r="L228" i="4"/>
  <c r="K228" i="4"/>
  <c r="J228" i="4"/>
  <c r="I228" i="4"/>
  <c r="M227" i="4"/>
  <c r="L227" i="4"/>
  <c r="K227" i="4"/>
  <c r="J227" i="4"/>
  <c r="I227" i="4"/>
  <c r="M226" i="4"/>
  <c r="L226" i="4"/>
  <c r="K226" i="4"/>
  <c r="J226" i="4"/>
  <c r="I226" i="4"/>
  <c r="M225" i="4"/>
  <c r="L225" i="4"/>
  <c r="K225" i="4"/>
  <c r="J225" i="4"/>
  <c r="I225" i="4"/>
  <c r="M224" i="4"/>
  <c r="L224" i="4"/>
  <c r="K224" i="4"/>
  <c r="J224" i="4"/>
  <c r="I224" i="4"/>
  <c r="M223" i="4"/>
  <c r="L223" i="4"/>
  <c r="K223" i="4"/>
  <c r="J223" i="4"/>
  <c r="I223" i="4"/>
  <c r="M222" i="4"/>
  <c r="L222" i="4"/>
  <c r="K222" i="4"/>
  <c r="J222" i="4"/>
  <c r="I222" i="4"/>
  <c r="M221" i="4"/>
  <c r="L221" i="4"/>
  <c r="K221" i="4"/>
  <c r="J221" i="4"/>
  <c r="I221" i="4"/>
  <c r="M220" i="4"/>
  <c r="L220" i="4"/>
  <c r="K220" i="4"/>
  <c r="J220" i="4"/>
  <c r="I220" i="4"/>
  <c r="M219" i="4"/>
  <c r="L219" i="4"/>
  <c r="K219" i="4"/>
  <c r="J219" i="4"/>
  <c r="I219" i="4"/>
  <c r="M218" i="4"/>
  <c r="L218" i="4"/>
  <c r="K218" i="4"/>
  <c r="J218" i="4"/>
  <c r="I218" i="4"/>
  <c r="M217" i="4"/>
  <c r="L217" i="4"/>
  <c r="K217" i="4"/>
  <c r="J217" i="4"/>
  <c r="I217" i="4"/>
  <c r="M216" i="4"/>
  <c r="L216" i="4"/>
  <c r="K216" i="4"/>
  <c r="J216" i="4"/>
  <c r="I216" i="4"/>
  <c r="M215" i="4"/>
  <c r="L215" i="4"/>
  <c r="K215" i="4"/>
  <c r="J215" i="4"/>
  <c r="I215" i="4"/>
  <c r="M214" i="4"/>
  <c r="L214" i="4"/>
  <c r="K214" i="4"/>
  <c r="J214" i="4"/>
  <c r="I214" i="4"/>
  <c r="M213" i="4"/>
  <c r="L213" i="4"/>
  <c r="K213" i="4"/>
  <c r="J213" i="4"/>
  <c r="I213" i="4"/>
  <c r="M212" i="4"/>
  <c r="L212" i="4"/>
  <c r="K212" i="4"/>
  <c r="J212" i="4"/>
  <c r="I212" i="4"/>
  <c r="M211" i="4"/>
  <c r="L211" i="4"/>
  <c r="K211" i="4"/>
  <c r="J211" i="4"/>
  <c r="I211" i="4"/>
  <c r="M210" i="4"/>
  <c r="L210" i="4"/>
  <c r="K210" i="4"/>
  <c r="J210" i="4"/>
  <c r="I210" i="4"/>
  <c r="M209" i="4"/>
  <c r="L209" i="4"/>
  <c r="K209" i="4"/>
  <c r="J209" i="4"/>
  <c r="I209" i="4"/>
  <c r="M208" i="4"/>
  <c r="L208" i="4"/>
  <c r="K208" i="4"/>
  <c r="J208" i="4"/>
  <c r="I208" i="4"/>
  <c r="M207" i="4"/>
  <c r="L207" i="4"/>
  <c r="K207" i="4"/>
  <c r="J207" i="4"/>
  <c r="I207" i="4"/>
  <c r="M206" i="4"/>
  <c r="L206" i="4"/>
  <c r="K206" i="4"/>
  <c r="J206" i="4"/>
  <c r="I206" i="4"/>
  <c r="M205" i="4"/>
  <c r="L205" i="4"/>
  <c r="K205" i="4"/>
  <c r="J205" i="4"/>
  <c r="I205" i="4"/>
  <c r="M204" i="4"/>
  <c r="L204" i="4"/>
  <c r="K204" i="4"/>
  <c r="J204" i="4"/>
  <c r="I204" i="4"/>
  <c r="M203" i="4"/>
  <c r="L203" i="4"/>
  <c r="K203" i="4"/>
  <c r="J203" i="4"/>
  <c r="I203" i="4"/>
  <c r="M202" i="4"/>
  <c r="L202" i="4"/>
  <c r="K202" i="4"/>
  <c r="J202" i="4"/>
  <c r="I202" i="4"/>
  <c r="M201" i="4"/>
  <c r="L201" i="4"/>
  <c r="K201" i="4"/>
  <c r="J201" i="4"/>
  <c r="I201" i="4"/>
  <c r="M200" i="4"/>
  <c r="L200" i="4"/>
  <c r="K200" i="4"/>
  <c r="J200" i="4"/>
  <c r="I200" i="4"/>
  <c r="M199" i="4"/>
  <c r="L199" i="4"/>
  <c r="K199" i="4"/>
  <c r="J199" i="4"/>
  <c r="I199" i="4"/>
  <c r="M198" i="4"/>
  <c r="L198" i="4"/>
  <c r="K198" i="4"/>
  <c r="J198" i="4"/>
  <c r="I198" i="4"/>
  <c r="M197" i="4"/>
  <c r="L197" i="4"/>
  <c r="K197" i="4"/>
  <c r="J197" i="4"/>
  <c r="I197" i="4"/>
  <c r="M196" i="4"/>
  <c r="L196" i="4"/>
  <c r="K196" i="4"/>
  <c r="J196" i="4"/>
  <c r="I196" i="4"/>
  <c r="M195" i="4"/>
  <c r="L195" i="4"/>
  <c r="K195" i="4"/>
  <c r="J195" i="4"/>
  <c r="I195" i="4"/>
  <c r="M194" i="4"/>
  <c r="L194" i="4"/>
  <c r="K194" i="4"/>
  <c r="J194" i="4"/>
  <c r="I194" i="4"/>
  <c r="M193" i="4"/>
  <c r="L193" i="4"/>
  <c r="K193" i="4"/>
  <c r="J193" i="4"/>
  <c r="I193" i="4"/>
  <c r="M192" i="4"/>
  <c r="L192" i="4"/>
  <c r="K192" i="4"/>
  <c r="J192" i="4"/>
  <c r="I192" i="4"/>
  <c r="M191" i="4"/>
  <c r="L191" i="4"/>
  <c r="K191" i="4"/>
  <c r="J191" i="4"/>
  <c r="I191" i="4"/>
  <c r="M190" i="4"/>
  <c r="L190" i="4"/>
  <c r="K190" i="4"/>
  <c r="J190" i="4"/>
  <c r="I190" i="4"/>
  <c r="M189" i="4"/>
  <c r="L189" i="4"/>
  <c r="K189" i="4"/>
  <c r="J189" i="4"/>
  <c r="I189" i="4"/>
  <c r="M188" i="4"/>
  <c r="L188" i="4"/>
  <c r="K188" i="4"/>
  <c r="J188" i="4"/>
  <c r="I188" i="4"/>
  <c r="M187" i="4"/>
  <c r="L187" i="4"/>
  <c r="K187" i="4"/>
  <c r="J187" i="4"/>
  <c r="I187" i="4"/>
  <c r="M186" i="4"/>
  <c r="L186" i="4"/>
  <c r="K186" i="4"/>
  <c r="J186" i="4"/>
  <c r="I186" i="4"/>
  <c r="M185" i="4"/>
  <c r="L185" i="4"/>
  <c r="K185" i="4"/>
  <c r="J185" i="4"/>
  <c r="I185" i="4"/>
  <c r="M184" i="4"/>
  <c r="L184" i="4"/>
  <c r="K184" i="4"/>
  <c r="J184" i="4"/>
  <c r="I184" i="4"/>
  <c r="M183" i="4"/>
  <c r="L183" i="4"/>
  <c r="K183" i="4"/>
  <c r="J183" i="4"/>
  <c r="I183" i="4"/>
  <c r="M182" i="4"/>
  <c r="L182" i="4"/>
  <c r="K182" i="4"/>
  <c r="J182" i="4"/>
  <c r="I182" i="4"/>
  <c r="M181" i="4"/>
  <c r="L181" i="4"/>
  <c r="K181" i="4"/>
  <c r="J181" i="4"/>
  <c r="I181" i="4"/>
  <c r="M180" i="4"/>
  <c r="L180" i="4"/>
  <c r="K180" i="4"/>
  <c r="J180" i="4"/>
  <c r="I180" i="4"/>
  <c r="M179" i="4"/>
  <c r="L179" i="4"/>
  <c r="K179" i="4"/>
  <c r="J179" i="4"/>
  <c r="I179" i="4"/>
  <c r="M178" i="4"/>
  <c r="L178" i="4"/>
  <c r="K178" i="4"/>
  <c r="J178" i="4"/>
  <c r="I178" i="4"/>
  <c r="M177" i="4"/>
  <c r="L177" i="4"/>
  <c r="K177" i="4"/>
  <c r="J177" i="4"/>
  <c r="I177" i="4"/>
  <c r="M176" i="4"/>
  <c r="L176" i="4"/>
  <c r="K176" i="4"/>
  <c r="J176" i="4"/>
  <c r="I176" i="4"/>
  <c r="M175" i="4"/>
  <c r="L175" i="4"/>
  <c r="K175" i="4"/>
  <c r="J175" i="4"/>
  <c r="I175" i="4"/>
  <c r="M174" i="4"/>
  <c r="L174" i="4"/>
  <c r="K174" i="4"/>
  <c r="J174" i="4"/>
  <c r="I174" i="4"/>
  <c r="M173" i="4"/>
  <c r="L173" i="4"/>
  <c r="K173" i="4"/>
  <c r="J173" i="4"/>
  <c r="I173" i="4"/>
  <c r="M172" i="4"/>
  <c r="L172" i="4"/>
  <c r="K172" i="4"/>
  <c r="J172" i="4"/>
  <c r="I172" i="4"/>
  <c r="M171" i="4"/>
  <c r="L171" i="4"/>
  <c r="K171" i="4"/>
  <c r="J171" i="4"/>
  <c r="I171" i="4"/>
  <c r="M170" i="4"/>
  <c r="L170" i="4"/>
  <c r="K170" i="4"/>
  <c r="J170" i="4"/>
  <c r="I170" i="4"/>
  <c r="M169" i="4"/>
  <c r="L169" i="4"/>
  <c r="K169" i="4"/>
  <c r="J169" i="4"/>
  <c r="I169" i="4"/>
  <c r="M168" i="4"/>
  <c r="L168" i="4"/>
  <c r="K168" i="4"/>
  <c r="J168" i="4"/>
  <c r="I168" i="4"/>
  <c r="M167" i="4"/>
  <c r="L167" i="4"/>
  <c r="K167" i="4"/>
  <c r="J167" i="4"/>
  <c r="I167" i="4"/>
  <c r="M166" i="4"/>
  <c r="L166" i="4"/>
  <c r="K166" i="4"/>
  <c r="J166" i="4"/>
  <c r="I166" i="4"/>
  <c r="M165" i="4"/>
  <c r="L165" i="4"/>
  <c r="K165" i="4"/>
  <c r="J165" i="4"/>
  <c r="I165" i="4"/>
  <c r="M164" i="4"/>
  <c r="L164" i="4"/>
  <c r="K164" i="4"/>
  <c r="J164" i="4"/>
  <c r="I164" i="4"/>
  <c r="M163" i="4"/>
  <c r="L163" i="4"/>
  <c r="K163" i="4"/>
  <c r="J163" i="4"/>
  <c r="I163" i="4"/>
  <c r="M162" i="4"/>
  <c r="L162" i="4"/>
  <c r="K162" i="4"/>
  <c r="J162" i="4"/>
  <c r="I162" i="4"/>
  <c r="M161" i="4"/>
  <c r="L161" i="4"/>
  <c r="K161" i="4"/>
  <c r="J161" i="4"/>
  <c r="I161" i="4"/>
  <c r="M160" i="4"/>
  <c r="L160" i="4"/>
  <c r="K160" i="4"/>
  <c r="J160" i="4"/>
  <c r="I160" i="4"/>
  <c r="M159" i="4"/>
  <c r="L159" i="4"/>
  <c r="K159" i="4"/>
  <c r="J159" i="4"/>
  <c r="I159" i="4"/>
  <c r="M158" i="4"/>
  <c r="L158" i="4"/>
  <c r="K158" i="4"/>
  <c r="J158" i="4"/>
  <c r="I158" i="4"/>
  <c r="M157" i="4"/>
  <c r="L157" i="4"/>
  <c r="K157" i="4"/>
  <c r="J157" i="4"/>
  <c r="I157" i="4"/>
  <c r="M156" i="4"/>
  <c r="L156" i="4"/>
  <c r="K156" i="4"/>
  <c r="J156" i="4"/>
  <c r="I156" i="4"/>
  <c r="M155" i="4"/>
  <c r="L155" i="4"/>
  <c r="K155" i="4"/>
  <c r="J155" i="4"/>
  <c r="I155" i="4"/>
  <c r="M154" i="4"/>
  <c r="L154" i="4"/>
  <c r="K154" i="4"/>
  <c r="J154" i="4"/>
  <c r="I154" i="4"/>
  <c r="M153" i="4"/>
  <c r="L153" i="4"/>
  <c r="K153" i="4"/>
  <c r="J153" i="4"/>
  <c r="I153" i="4"/>
  <c r="M152" i="4"/>
  <c r="L152" i="4"/>
  <c r="K152" i="4"/>
  <c r="J152" i="4"/>
  <c r="I152" i="4"/>
  <c r="M151" i="4"/>
  <c r="L151" i="4"/>
  <c r="K151" i="4"/>
  <c r="J151" i="4"/>
  <c r="I151" i="4"/>
  <c r="M150" i="4"/>
  <c r="L150" i="4"/>
  <c r="K150" i="4"/>
  <c r="J150" i="4"/>
  <c r="I150" i="4"/>
  <c r="M149" i="4"/>
  <c r="L149" i="4"/>
  <c r="K149" i="4"/>
  <c r="J149" i="4"/>
  <c r="I149" i="4"/>
  <c r="M148" i="4"/>
  <c r="L148" i="4"/>
  <c r="K148" i="4"/>
  <c r="J148" i="4"/>
  <c r="I148" i="4"/>
  <c r="M147" i="4"/>
  <c r="L147" i="4"/>
  <c r="K147" i="4"/>
  <c r="J147" i="4"/>
  <c r="I147" i="4"/>
  <c r="M146" i="4"/>
  <c r="L146" i="4"/>
  <c r="K146" i="4"/>
  <c r="J146" i="4"/>
  <c r="I146" i="4"/>
  <c r="M145" i="4"/>
  <c r="L145" i="4"/>
  <c r="K145" i="4"/>
  <c r="J145" i="4"/>
  <c r="I145" i="4"/>
  <c r="M144" i="4"/>
  <c r="L144" i="4"/>
  <c r="K144" i="4"/>
  <c r="J144" i="4"/>
  <c r="I144" i="4"/>
  <c r="M143" i="4"/>
  <c r="L143" i="4"/>
  <c r="K143" i="4"/>
  <c r="J143" i="4"/>
  <c r="I143" i="4"/>
  <c r="M142" i="4"/>
  <c r="L142" i="4"/>
  <c r="K142" i="4"/>
  <c r="J142" i="4"/>
  <c r="I142" i="4"/>
  <c r="M141" i="4"/>
  <c r="L141" i="4"/>
  <c r="K141" i="4"/>
  <c r="J141" i="4"/>
  <c r="I141" i="4"/>
  <c r="M140" i="4"/>
  <c r="L140" i="4"/>
  <c r="K140" i="4"/>
  <c r="J140" i="4"/>
  <c r="I140" i="4"/>
  <c r="M139" i="4"/>
  <c r="L139" i="4"/>
  <c r="K139" i="4"/>
  <c r="J139" i="4"/>
  <c r="I139" i="4"/>
  <c r="M138" i="4"/>
  <c r="L138" i="4"/>
  <c r="K138" i="4"/>
  <c r="J138" i="4"/>
  <c r="I138" i="4"/>
  <c r="M137" i="4"/>
  <c r="L137" i="4"/>
  <c r="K137" i="4"/>
  <c r="J137" i="4"/>
  <c r="I137" i="4"/>
  <c r="M136" i="4"/>
  <c r="L136" i="4"/>
  <c r="K136" i="4"/>
  <c r="J136" i="4"/>
  <c r="I136" i="4"/>
  <c r="M135" i="4"/>
  <c r="L135" i="4"/>
  <c r="K135" i="4"/>
  <c r="J135" i="4"/>
  <c r="I135" i="4"/>
  <c r="M134" i="4"/>
  <c r="L134" i="4"/>
  <c r="K134" i="4"/>
  <c r="J134" i="4"/>
  <c r="I134" i="4"/>
  <c r="M133" i="4"/>
  <c r="L133" i="4"/>
  <c r="K133" i="4"/>
  <c r="J133" i="4"/>
  <c r="I133" i="4"/>
  <c r="M132" i="4"/>
  <c r="L132" i="4"/>
  <c r="K132" i="4"/>
  <c r="J132" i="4"/>
  <c r="I132" i="4"/>
  <c r="M131" i="4"/>
  <c r="L131" i="4"/>
  <c r="K131" i="4"/>
  <c r="J131" i="4"/>
  <c r="I131" i="4"/>
  <c r="M130" i="4"/>
  <c r="L130" i="4"/>
  <c r="K130" i="4"/>
  <c r="J130" i="4"/>
  <c r="I130" i="4"/>
  <c r="M129" i="4"/>
  <c r="L129" i="4"/>
  <c r="K129" i="4"/>
  <c r="J129" i="4"/>
  <c r="I129" i="4"/>
  <c r="M128" i="4"/>
  <c r="L128" i="4"/>
  <c r="K128" i="4"/>
  <c r="J128" i="4"/>
  <c r="I128" i="4"/>
  <c r="M127" i="4"/>
  <c r="L127" i="4"/>
  <c r="K127" i="4"/>
  <c r="J127" i="4"/>
  <c r="I127" i="4"/>
  <c r="M126" i="4"/>
  <c r="L126" i="4"/>
  <c r="K126" i="4"/>
  <c r="J126" i="4"/>
  <c r="I126" i="4"/>
  <c r="M125" i="4"/>
  <c r="L125" i="4"/>
  <c r="K125" i="4"/>
  <c r="J125" i="4"/>
  <c r="I125" i="4"/>
  <c r="M124" i="4"/>
  <c r="L124" i="4"/>
  <c r="K124" i="4"/>
  <c r="J124" i="4"/>
  <c r="I124" i="4"/>
  <c r="M123" i="4"/>
  <c r="L123" i="4"/>
  <c r="K123" i="4"/>
  <c r="J123" i="4"/>
  <c r="I123" i="4"/>
  <c r="M122" i="4"/>
  <c r="L122" i="4"/>
  <c r="K122" i="4"/>
  <c r="J122" i="4"/>
  <c r="I122" i="4"/>
  <c r="M121" i="4"/>
  <c r="L121" i="4"/>
  <c r="K121" i="4"/>
  <c r="J121" i="4"/>
  <c r="I121" i="4"/>
  <c r="M120" i="4"/>
  <c r="L120" i="4"/>
  <c r="K120" i="4"/>
  <c r="J120" i="4"/>
  <c r="I120" i="4"/>
  <c r="M119" i="4"/>
  <c r="L119" i="4"/>
  <c r="K119" i="4"/>
  <c r="J119" i="4"/>
  <c r="I119" i="4"/>
  <c r="M118" i="4"/>
  <c r="L118" i="4"/>
  <c r="K118" i="4"/>
  <c r="J118" i="4"/>
  <c r="I118" i="4"/>
  <c r="M117" i="4"/>
  <c r="L117" i="4"/>
  <c r="K117" i="4"/>
  <c r="J117" i="4"/>
  <c r="I117" i="4"/>
  <c r="M116" i="4"/>
  <c r="L116" i="4"/>
  <c r="K116" i="4"/>
  <c r="J116" i="4"/>
  <c r="I116" i="4"/>
  <c r="M115" i="4"/>
  <c r="L115" i="4"/>
  <c r="K115" i="4"/>
  <c r="J115" i="4"/>
  <c r="I115" i="4"/>
  <c r="M114" i="4"/>
  <c r="L114" i="4"/>
  <c r="K114" i="4"/>
  <c r="J114" i="4"/>
  <c r="I114" i="4"/>
  <c r="M113" i="4"/>
  <c r="L113" i="4"/>
  <c r="K113" i="4"/>
  <c r="J113" i="4"/>
  <c r="I113" i="4"/>
  <c r="M112" i="4"/>
  <c r="L112" i="4"/>
  <c r="K112" i="4"/>
  <c r="J112" i="4"/>
  <c r="I112" i="4"/>
  <c r="M111" i="4"/>
  <c r="L111" i="4"/>
  <c r="K111" i="4"/>
  <c r="J111" i="4"/>
  <c r="I111" i="4"/>
  <c r="M110" i="4"/>
  <c r="L110" i="4"/>
  <c r="K110" i="4"/>
  <c r="J110" i="4"/>
  <c r="I110" i="4"/>
  <c r="M109" i="4"/>
  <c r="L109" i="4"/>
  <c r="K109" i="4"/>
  <c r="J109" i="4"/>
  <c r="I109" i="4"/>
  <c r="M108" i="4"/>
  <c r="L108" i="4"/>
  <c r="K108" i="4"/>
  <c r="J108" i="4"/>
  <c r="I108" i="4"/>
  <c r="M107" i="4"/>
  <c r="L107" i="4"/>
  <c r="K107" i="4"/>
  <c r="J107" i="4"/>
  <c r="I107" i="4"/>
  <c r="M106" i="4"/>
  <c r="L106" i="4"/>
  <c r="K106" i="4"/>
  <c r="J106" i="4"/>
  <c r="I106" i="4"/>
  <c r="M105" i="4"/>
  <c r="L105" i="4"/>
  <c r="K105" i="4"/>
  <c r="J105" i="4"/>
  <c r="I105" i="4"/>
  <c r="M104" i="4"/>
  <c r="L104" i="4"/>
  <c r="K104" i="4"/>
  <c r="J104" i="4"/>
  <c r="I104" i="4"/>
  <c r="M103" i="4"/>
  <c r="L103" i="4"/>
  <c r="K103" i="4"/>
  <c r="J103" i="4"/>
  <c r="I103" i="4"/>
  <c r="M102" i="4"/>
  <c r="L102" i="4"/>
  <c r="K102" i="4"/>
  <c r="J102" i="4"/>
  <c r="I102" i="4"/>
  <c r="M101" i="4"/>
  <c r="L101" i="4"/>
  <c r="K101" i="4"/>
  <c r="J101" i="4"/>
  <c r="I101" i="4"/>
  <c r="M100" i="4"/>
  <c r="L100" i="4"/>
  <c r="K100" i="4"/>
  <c r="J100" i="4"/>
  <c r="I100" i="4"/>
  <c r="M99" i="4"/>
  <c r="L99" i="4"/>
  <c r="K99" i="4"/>
  <c r="J99" i="4"/>
  <c r="I99" i="4"/>
  <c r="M98" i="4"/>
  <c r="L98" i="4"/>
  <c r="K98" i="4"/>
  <c r="J98" i="4"/>
  <c r="I98" i="4"/>
  <c r="M97" i="4"/>
  <c r="L97" i="4"/>
  <c r="K97" i="4"/>
  <c r="J97" i="4"/>
  <c r="I97" i="4"/>
  <c r="M96" i="4"/>
  <c r="L96" i="4"/>
  <c r="K96" i="4"/>
  <c r="J96" i="4"/>
  <c r="I96" i="4"/>
  <c r="M95" i="4"/>
  <c r="L95" i="4"/>
  <c r="K95" i="4"/>
  <c r="J95" i="4"/>
  <c r="I95" i="4"/>
  <c r="M94" i="4"/>
  <c r="L94" i="4"/>
  <c r="K94" i="4"/>
  <c r="J94" i="4"/>
  <c r="I94" i="4"/>
  <c r="M93" i="4"/>
  <c r="L93" i="4"/>
  <c r="K93" i="4"/>
  <c r="J93" i="4"/>
  <c r="I93" i="4"/>
  <c r="M92" i="4"/>
  <c r="L92" i="4"/>
  <c r="K92" i="4"/>
  <c r="J92" i="4"/>
  <c r="I92" i="4"/>
  <c r="M91" i="4"/>
  <c r="L91" i="4"/>
  <c r="K91" i="4"/>
  <c r="J91" i="4"/>
  <c r="I91" i="4"/>
  <c r="M90" i="4"/>
  <c r="L90" i="4"/>
  <c r="K90" i="4"/>
  <c r="J90" i="4"/>
  <c r="I90" i="4"/>
  <c r="M89" i="4"/>
  <c r="L89" i="4"/>
  <c r="K89" i="4"/>
  <c r="J89" i="4"/>
  <c r="I89" i="4"/>
  <c r="M88" i="4"/>
  <c r="L88" i="4"/>
  <c r="K88" i="4"/>
  <c r="J88" i="4"/>
  <c r="I88" i="4"/>
  <c r="M87" i="4"/>
  <c r="L87" i="4"/>
  <c r="K87" i="4"/>
  <c r="J87" i="4"/>
  <c r="I87" i="4"/>
  <c r="M86" i="4"/>
  <c r="L86" i="4"/>
  <c r="K86" i="4"/>
  <c r="J86" i="4"/>
  <c r="I86" i="4"/>
  <c r="M85" i="4"/>
  <c r="L85" i="4"/>
  <c r="K85" i="4"/>
  <c r="J85" i="4"/>
  <c r="I85" i="4"/>
  <c r="M84" i="4"/>
  <c r="L84" i="4"/>
  <c r="K84" i="4"/>
  <c r="J84" i="4"/>
  <c r="I84" i="4"/>
  <c r="M83" i="4"/>
  <c r="L83" i="4"/>
  <c r="K83" i="4"/>
  <c r="J83" i="4"/>
  <c r="I83" i="4"/>
  <c r="M82" i="4"/>
  <c r="L82" i="4"/>
  <c r="K82" i="4"/>
  <c r="J82" i="4"/>
  <c r="I82" i="4"/>
  <c r="M81" i="4"/>
  <c r="L81" i="4"/>
  <c r="K81" i="4"/>
  <c r="J81" i="4"/>
  <c r="I81" i="4"/>
  <c r="M80" i="4"/>
  <c r="L80" i="4"/>
  <c r="K80" i="4"/>
  <c r="J80" i="4"/>
  <c r="I80" i="4"/>
  <c r="M79" i="4"/>
  <c r="L79" i="4"/>
  <c r="K79" i="4"/>
  <c r="J79" i="4"/>
  <c r="I79" i="4"/>
  <c r="M78" i="4"/>
  <c r="L78" i="4"/>
  <c r="K78" i="4"/>
  <c r="J78" i="4"/>
  <c r="I78" i="4"/>
  <c r="M77" i="4"/>
  <c r="L77" i="4"/>
  <c r="K77" i="4"/>
  <c r="J77" i="4"/>
  <c r="I77" i="4"/>
  <c r="M76" i="4"/>
  <c r="L76" i="4"/>
  <c r="K76" i="4"/>
  <c r="J76" i="4"/>
  <c r="I76" i="4"/>
  <c r="M75" i="4"/>
  <c r="L75" i="4"/>
  <c r="K75" i="4"/>
  <c r="J75" i="4"/>
  <c r="I75" i="4"/>
  <c r="M74" i="4"/>
  <c r="L74" i="4"/>
  <c r="K74" i="4"/>
  <c r="J74" i="4"/>
  <c r="I74" i="4"/>
  <c r="M73" i="4"/>
  <c r="L73" i="4"/>
  <c r="K73" i="4"/>
  <c r="J73" i="4"/>
  <c r="I73" i="4"/>
  <c r="M72" i="4"/>
  <c r="L72" i="4"/>
  <c r="K72" i="4"/>
  <c r="J72" i="4"/>
  <c r="I72" i="4"/>
  <c r="M71" i="4"/>
  <c r="L71" i="4"/>
  <c r="K71" i="4"/>
  <c r="J71" i="4"/>
  <c r="I71" i="4"/>
  <c r="M70" i="4"/>
  <c r="L70" i="4"/>
  <c r="K70" i="4"/>
  <c r="J70" i="4"/>
  <c r="I70" i="4"/>
  <c r="M69" i="4"/>
  <c r="L69" i="4"/>
  <c r="K69" i="4"/>
  <c r="Q44" i="3" s="1"/>
  <c r="J69" i="4"/>
  <c r="I69" i="4"/>
  <c r="L68" i="4"/>
  <c r="K68" i="4"/>
  <c r="J68" i="4"/>
  <c r="I68" i="4"/>
  <c r="F16" i="7" s="1"/>
  <c r="L67" i="4"/>
  <c r="K67" i="4"/>
  <c r="J67" i="4"/>
  <c r="I67" i="4"/>
  <c r="M67" i="4" s="1"/>
  <c r="L66" i="4"/>
  <c r="K66" i="4"/>
  <c r="J66" i="4"/>
  <c r="I66" i="4"/>
  <c r="M66" i="4" s="1"/>
  <c r="L65" i="4"/>
  <c r="K65" i="4"/>
  <c r="Q42" i="3" s="1"/>
  <c r="J65" i="4"/>
  <c r="I65" i="4"/>
  <c r="M65" i="4" s="1"/>
  <c r="L64" i="4"/>
  <c r="K64" i="4"/>
  <c r="J64" i="4"/>
  <c r="I64" i="4"/>
  <c r="Q40" i="3" s="1"/>
  <c r="M63" i="4"/>
  <c r="L63" i="4"/>
  <c r="K63" i="4"/>
  <c r="J63" i="4"/>
  <c r="I63" i="4"/>
  <c r="Q39" i="3" s="1"/>
  <c r="L62" i="4"/>
  <c r="K62" i="4"/>
  <c r="J62" i="4"/>
  <c r="I62" i="4"/>
  <c r="M62" i="4" s="1"/>
  <c r="L61" i="4"/>
  <c r="K61" i="4"/>
  <c r="J61" i="4"/>
  <c r="I61" i="4"/>
  <c r="M61" i="4" s="1"/>
  <c r="L60" i="4"/>
  <c r="K60" i="4"/>
  <c r="R36" i="3" s="1"/>
  <c r="K9" i="6" s="1"/>
  <c r="J60" i="4"/>
  <c r="I60" i="4"/>
  <c r="M60" i="4" s="1"/>
  <c r="M59" i="4"/>
  <c r="L59" i="4"/>
  <c r="K59" i="4"/>
  <c r="Q35" i="3" s="1"/>
  <c r="J59" i="4"/>
  <c r="I59" i="4"/>
  <c r="L58" i="4"/>
  <c r="K58" i="4"/>
  <c r="J58" i="4"/>
  <c r="I58" i="4"/>
  <c r="M58" i="4" s="1"/>
  <c r="L57" i="4"/>
  <c r="K57" i="4"/>
  <c r="J57" i="4"/>
  <c r="I57" i="4"/>
  <c r="M57" i="4" s="1"/>
  <c r="L56" i="4"/>
  <c r="K56" i="4"/>
  <c r="J56" i="4"/>
  <c r="I56" i="4"/>
  <c r="Q34" i="3" s="1"/>
  <c r="L55" i="4"/>
  <c r="K55" i="4"/>
  <c r="J55" i="4"/>
  <c r="I55" i="4"/>
  <c r="M55" i="4" s="1"/>
  <c r="L54" i="4"/>
  <c r="K54" i="4"/>
  <c r="J54" i="4"/>
  <c r="I54" i="4"/>
  <c r="M54" i="4" s="1"/>
  <c r="M53" i="4"/>
  <c r="L53" i="4"/>
  <c r="K53" i="4"/>
  <c r="J53" i="4"/>
  <c r="I53" i="4"/>
  <c r="L52" i="4"/>
  <c r="K52" i="4"/>
  <c r="J52" i="4"/>
  <c r="I52" i="4"/>
  <c r="M52" i="4" s="1"/>
  <c r="M51" i="4"/>
  <c r="L51" i="4"/>
  <c r="K51" i="4"/>
  <c r="Q31" i="3" s="1"/>
  <c r="J51" i="4"/>
  <c r="I51" i="4"/>
  <c r="L50" i="4"/>
  <c r="K50" i="4"/>
  <c r="J50" i="4"/>
  <c r="I50" i="4"/>
  <c r="M50" i="4" s="1"/>
  <c r="M49" i="4"/>
  <c r="L49" i="4"/>
  <c r="K49" i="4"/>
  <c r="Q30" i="3" s="1"/>
  <c r="J49" i="4"/>
  <c r="I49" i="4"/>
  <c r="L48" i="4"/>
  <c r="K48" i="4"/>
  <c r="J48" i="4"/>
  <c r="I48" i="4"/>
  <c r="M48" i="4" s="1"/>
  <c r="L47" i="4"/>
  <c r="K47" i="4"/>
  <c r="J47" i="4"/>
  <c r="I47" i="4"/>
  <c r="M47" i="4" s="1"/>
  <c r="L46" i="4"/>
  <c r="K46" i="4"/>
  <c r="J46" i="4"/>
  <c r="I46" i="4"/>
  <c r="M46" i="4" s="1"/>
  <c r="L45" i="4"/>
  <c r="K45" i="4"/>
  <c r="R29" i="3" s="1"/>
  <c r="J45" i="4"/>
  <c r="I45" i="4"/>
  <c r="M45" i="4" s="1"/>
  <c r="L44" i="4"/>
  <c r="K44" i="4"/>
  <c r="J44" i="4"/>
  <c r="I44" i="4"/>
  <c r="M44" i="4" s="1"/>
  <c r="M43" i="4"/>
  <c r="L43" i="4"/>
  <c r="K43" i="4"/>
  <c r="J43" i="4"/>
  <c r="I43" i="4"/>
  <c r="L42" i="4"/>
  <c r="K42" i="4"/>
  <c r="J42" i="4"/>
  <c r="I42" i="4"/>
  <c r="L41" i="4"/>
  <c r="K41" i="4"/>
  <c r="J41" i="4"/>
  <c r="I41" i="4"/>
  <c r="M41" i="4" s="1"/>
  <c r="L40" i="4"/>
  <c r="K40" i="4"/>
  <c r="R27" i="3" s="1"/>
  <c r="J40" i="4"/>
  <c r="I40" i="4"/>
  <c r="M40" i="4" s="1"/>
  <c r="M39" i="4"/>
  <c r="L39" i="4"/>
  <c r="K39" i="4"/>
  <c r="J39" i="4"/>
  <c r="I39" i="4"/>
  <c r="L38" i="4"/>
  <c r="K38" i="4"/>
  <c r="R26" i="3" s="1"/>
  <c r="J38" i="4"/>
  <c r="I38" i="4"/>
  <c r="M38" i="4" s="1"/>
  <c r="M37" i="4"/>
  <c r="L37" i="4"/>
  <c r="K37" i="4"/>
  <c r="Q25" i="3" s="1"/>
  <c r="J37" i="4"/>
  <c r="I37" i="4"/>
  <c r="L36" i="4"/>
  <c r="K36" i="4"/>
  <c r="Q24" i="3" s="1"/>
  <c r="J36" i="4"/>
  <c r="I36" i="4"/>
  <c r="M36" i="4" s="1"/>
  <c r="M35" i="4"/>
  <c r="L35" i="4"/>
  <c r="K35" i="4"/>
  <c r="R24" i="3" s="1"/>
  <c r="J35" i="4"/>
  <c r="I35" i="4"/>
  <c r="F15" i="7" s="1"/>
  <c r="L34" i="4"/>
  <c r="K34" i="4"/>
  <c r="J34" i="4"/>
  <c r="I34" i="4"/>
  <c r="M34" i="4" s="1"/>
  <c r="M33" i="4"/>
  <c r="L33" i="4"/>
  <c r="K33" i="4"/>
  <c r="J33" i="4"/>
  <c r="I33" i="4"/>
  <c r="L32" i="4"/>
  <c r="K32" i="4"/>
  <c r="J32" i="4"/>
  <c r="I32" i="4"/>
  <c r="M32" i="4" s="1"/>
  <c r="M31" i="4"/>
  <c r="L31" i="4"/>
  <c r="K31" i="4"/>
  <c r="Q22" i="3" s="1"/>
  <c r="J31" i="4"/>
  <c r="I31" i="4"/>
  <c r="L30" i="4"/>
  <c r="K30" i="4"/>
  <c r="J30" i="4"/>
  <c r="I30" i="4"/>
  <c r="M30" i="4" s="1"/>
  <c r="M29" i="4"/>
  <c r="L29" i="4"/>
  <c r="K29" i="4"/>
  <c r="J29" i="4"/>
  <c r="I29" i="4"/>
  <c r="L28" i="4"/>
  <c r="K28" i="4"/>
  <c r="J28" i="4"/>
  <c r="I28" i="4"/>
  <c r="M28" i="4" s="1"/>
  <c r="L27" i="4"/>
  <c r="K27" i="4"/>
  <c r="J27" i="4"/>
  <c r="I27" i="4"/>
  <c r="M27" i="4" s="1"/>
  <c r="L26" i="4"/>
  <c r="K26" i="4"/>
  <c r="Q19" i="3" s="1"/>
  <c r="J26" i="4"/>
  <c r="I26" i="4"/>
  <c r="M26" i="4" s="1"/>
  <c r="L25" i="4"/>
  <c r="K25" i="4"/>
  <c r="R17" i="3" s="1"/>
  <c r="J25" i="4"/>
  <c r="I25" i="4"/>
  <c r="M25" i="4" s="1"/>
  <c r="L24" i="4"/>
  <c r="K24" i="4"/>
  <c r="J24" i="4"/>
  <c r="I24" i="4"/>
  <c r="M24" i="4" s="1"/>
  <c r="M23" i="4"/>
  <c r="L23" i="4"/>
  <c r="K23" i="4"/>
  <c r="J23" i="4"/>
  <c r="I23" i="4"/>
  <c r="Q16" i="3" s="1"/>
  <c r="L22" i="4"/>
  <c r="K22" i="4"/>
  <c r="J22" i="4"/>
  <c r="I22" i="4"/>
  <c r="L21" i="4"/>
  <c r="K21" i="4"/>
  <c r="J21" i="4"/>
  <c r="I21" i="4"/>
  <c r="M21" i="4" s="1"/>
  <c r="L20" i="4"/>
  <c r="K20" i="4"/>
  <c r="J20" i="4"/>
  <c r="I20" i="4"/>
  <c r="M20" i="4" s="1"/>
  <c r="M19" i="4"/>
  <c r="L19" i="4"/>
  <c r="K19" i="4"/>
  <c r="R14" i="3" s="1"/>
  <c r="J19" i="4"/>
  <c r="I19" i="4"/>
  <c r="L18" i="4"/>
  <c r="K18" i="4"/>
  <c r="J18" i="4"/>
  <c r="I18" i="4"/>
  <c r="M18" i="4" s="1"/>
  <c r="M17" i="4"/>
  <c r="L17" i="4"/>
  <c r="K17" i="4"/>
  <c r="J17" i="4"/>
  <c r="I17" i="4"/>
  <c r="L16" i="4"/>
  <c r="K16" i="4"/>
  <c r="R12" i="3" s="1"/>
  <c r="J16" i="4"/>
  <c r="I16" i="4"/>
  <c r="M16" i="4" s="1"/>
  <c r="M15" i="4"/>
  <c r="L15" i="4"/>
  <c r="K15" i="4"/>
  <c r="J15" i="4"/>
  <c r="I15" i="4"/>
  <c r="Q12" i="3" s="1"/>
  <c r="L14" i="4"/>
  <c r="K14" i="4"/>
  <c r="J14" i="4"/>
  <c r="I14" i="4"/>
  <c r="M14" i="4" s="1"/>
  <c r="M13" i="4"/>
  <c r="L13" i="4"/>
  <c r="K13" i="4"/>
  <c r="J13" i="4"/>
  <c r="I13" i="4"/>
  <c r="L12" i="4"/>
  <c r="K12" i="4"/>
  <c r="J12" i="4"/>
  <c r="I12" i="4"/>
  <c r="M12" i="4" s="1"/>
  <c r="M11" i="4"/>
  <c r="L11" i="4"/>
  <c r="K11" i="4"/>
  <c r="J11" i="4"/>
  <c r="I11" i="4"/>
  <c r="L10" i="4"/>
  <c r="K10" i="4"/>
  <c r="J10" i="4"/>
  <c r="I10" i="4"/>
  <c r="M10" i="4" s="1"/>
  <c r="M9" i="4"/>
  <c r="L9" i="4"/>
  <c r="K9" i="4"/>
  <c r="J9" i="4"/>
  <c r="I9" i="4"/>
  <c r="L8" i="4"/>
  <c r="K8" i="4"/>
  <c r="J8" i="4"/>
  <c r="I8" i="4"/>
  <c r="M8" i="4" s="1"/>
  <c r="L7" i="4"/>
  <c r="K7" i="4"/>
  <c r="R6" i="3" s="1"/>
  <c r="J7" i="4"/>
  <c r="I7" i="4"/>
  <c r="M7" i="4" s="1"/>
  <c r="L6" i="4"/>
  <c r="K6" i="4"/>
  <c r="J6" i="4"/>
  <c r="I6" i="4"/>
  <c r="M6" i="4" s="1"/>
  <c r="Y505" i="3"/>
  <c r="X505" i="3"/>
  <c r="W505" i="3"/>
  <c r="V505" i="3"/>
  <c r="U505" i="3"/>
  <c r="T505" i="3"/>
  <c r="S505" i="3"/>
  <c r="R505" i="3"/>
  <c r="Q505" i="3"/>
  <c r="P505" i="3"/>
  <c r="O505" i="3"/>
  <c r="N505" i="3"/>
  <c r="M505" i="3"/>
  <c r="L505" i="3"/>
  <c r="Y504" i="3"/>
  <c r="X504" i="3"/>
  <c r="W504" i="3"/>
  <c r="V504" i="3"/>
  <c r="U504" i="3"/>
  <c r="T504" i="3"/>
  <c r="S504" i="3"/>
  <c r="R504" i="3"/>
  <c r="Q504" i="3"/>
  <c r="P504" i="3"/>
  <c r="O504" i="3"/>
  <c r="N504" i="3"/>
  <c r="M504" i="3"/>
  <c r="L504" i="3"/>
  <c r="Y503" i="3"/>
  <c r="X503" i="3"/>
  <c r="W503" i="3"/>
  <c r="V503" i="3"/>
  <c r="U503" i="3"/>
  <c r="T503" i="3"/>
  <c r="S503" i="3"/>
  <c r="R503" i="3"/>
  <c r="Q503" i="3"/>
  <c r="P503" i="3"/>
  <c r="O503" i="3"/>
  <c r="N503" i="3"/>
  <c r="M503" i="3"/>
  <c r="L503" i="3"/>
  <c r="Y502" i="3"/>
  <c r="X502" i="3"/>
  <c r="W502" i="3"/>
  <c r="V502" i="3"/>
  <c r="U502" i="3"/>
  <c r="T502" i="3"/>
  <c r="S502" i="3"/>
  <c r="R502" i="3"/>
  <c r="Q502" i="3"/>
  <c r="P502" i="3"/>
  <c r="O502" i="3"/>
  <c r="N502" i="3"/>
  <c r="M502" i="3"/>
  <c r="L502" i="3"/>
  <c r="Y501" i="3"/>
  <c r="X501" i="3"/>
  <c r="W501" i="3"/>
  <c r="V501" i="3"/>
  <c r="U501" i="3"/>
  <c r="T501" i="3"/>
  <c r="S501" i="3"/>
  <c r="R501" i="3"/>
  <c r="Q501" i="3"/>
  <c r="P501" i="3"/>
  <c r="O501" i="3"/>
  <c r="N501" i="3"/>
  <c r="M501" i="3"/>
  <c r="L501" i="3"/>
  <c r="Y500" i="3"/>
  <c r="X500" i="3"/>
  <c r="W500" i="3"/>
  <c r="V500" i="3"/>
  <c r="U500" i="3"/>
  <c r="T500" i="3"/>
  <c r="S500" i="3"/>
  <c r="R500" i="3"/>
  <c r="Q500" i="3"/>
  <c r="P500" i="3"/>
  <c r="O500" i="3"/>
  <c r="N500" i="3"/>
  <c r="M500" i="3"/>
  <c r="L500" i="3"/>
  <c r="Y499" i="3"/>
  <c r="X499" i="3"/>
  <c r="W499" i="3"/>
  <c r="V499" i="3"/>
  <c r="U499" i="3"/>
  <c r="T499" i="3"/>
  <c r="S499" i="3"/>
  <c r="R499" i="3"/>
  <c r="Q499" i="3"/>
  <c r="P499" i="3"/>
  <c r="O499" i="3"/>
  <c r="N499" i="3"/>
  <c r="M499" i="3"/>
  <c r="L499" i="3"/>
  <c r="Y498" i="3"/>
  <c r="X498" i="3"/>
  <c r="W498" i="3"/>
  <c r="V498" i="3"/>
  <c r="U498" i="3"/>
  <c r="T498" i="3"/>
  <c r="S498" i="3"/>
  <c r="R498" i="3"/>
  <c r="Q498" i="3"/>
  <c r="P498" i="3"/>
  <c r="O498" i="3"/>
  <c r="N498" i="3"/>
  <c r="M498" i="3"/>
  <c r="L498" i="3"/>
  <c r="Y497" i="3"/>
  <c r="X497" i="3"/>
  <c r="W497" i="3"/>
  <c r="V497" i="3"/>
  <c r="U497" i="3"/>
  <c r="T497" i="3"/>
  <c r="S497" i="3"/>
  <c r="R497" i="3"/>
  <c r="Q497" i="3"/>
  <c r="P497" i="3"/>
  <c r="O497" i="3"/>
  <c r="N497" i="3"/>
  <c r="M497" i="3"/>
  <c r="L497" i="3"/>
  <c r="Y496" i="3"/>
  <c r="X496" i="3"/>
  <c r="W496" i="3"/>
  <c r="V496" i="3"/>
  <c r="U496" i="3"/>
  <c r="T496" i="3"/>
  <c r="S496" i="3"/>
  <c r="R496" i="3"/>
  <c r="Q496" i="3"/>
  <c r="P496" i="3"/>
  <c r="O496" i="3"/>
  <c r="N496" i="3"/>
  <c r="M496" i="3"/>
  <c r="L496" i="3"/>
  <c r="Y495" i="3"/>
  <c r="X495" i="3"/>
  <c r="W495" i="3"/>
  <c r="V495" i="3"/>
  <c r="U495" i="3"/>
  <c r="T495" i="3"/>
  <c r="S495" i="3"/>
  <c r="R495" i="3"/>
  <c r="Q495" i="3"/>
  <c r="P495" i="3"/>
  <c r="O495" i="3"/>
  <c r="N495" i="3"/>
  <c r="M495" i="3"/>
  <c r="L495" i="3"/>
  <c r="Y494" i="3"/>
  <c r="X494" i="3"/>
  <c r="W494" i="3"/>
  <c r="V494" i="3"/>
  <c r="U494" i="3"/>
  <c r="T494" i="3"/>
  <c r="S494" i="3"/>
  <c r="R494" i="3"/>
  <c r="Q494" i="3"/>
  <c r="P494" i="3"/>
  <c r="O494" i="3"/>
  <c r="N494" i="3"/>
  <c r="M494" i="3"/>
  <c r="L494" i="3"/>
  <c r="Y493" i="3"/>
  <c r="X493" i="3"/>
  <c r="W493" i="3"/>
  <c r="V493" i="3"/>
  <c r="U493" i="3"/>
  <c r="T493" i="3"/>
  <c r="S493" i="3"/>
  <c r="R493" i="3"/>
  <c r="Q493" i="3"/>
  <c r="P493" i="3"/>
  <c r="O493" i="3"/>
  <c r="N493" i="3"/>
  <c r="M493" i="3"/>
  <c r="L493" i="3"/>
  <c r="Y492" i="3"/>
  <c r="X492" i="3"/>
  <c r="W492" i="3"/>
  <c r="V492" i="3"/>
  <c r="U492" i="3"/>
  <c r="T492" i="3"/>
  <c r="S492" i="3"/>
  <c r="R492" i="3"/>
  <c r="Q492" i="3"/>
  <c r="P492" i="3"/>
  <c r="O492" i="3"/>
  <c r="N492" i="3"/>
  <c r="M492" i="3"/>
  <c r="L492" i="3"/>
  <c r="Y491" i="3"/>
  <c r="X491" i="3"/>
  <c r="W491" i="3"/>
  <c r="V491" i="3"/>
  <c r="U491" i="3"/>
  <c r="T491" i="3"/>
  <c r="S491" i="3"/>
  <c r="R491" i="3"/>
  <c r="Q491" i="3"/>
  <c r="P491" i="3"/>
  <c r="O491" i="3"/>
  <c r="N491" i="3"/>
  <c r="M491" i="3"/>
  <c r="L491" i="3"/>
  <c r="Y490" i="3"/>
  <c r="X490" i="3"/>
  <c r="W490" i="3"/>
  <c r="V490" i="3"/>
  <c r="U490" i="3"/>
  <c r="T490" i="3"/>
  <c r="S490" i="3"/>
  <c r="R490" i="3"/>
  <c r="Q490" i="3"/>
  <c r="P490" i="3"/>
  <c r="O490" i="3"/>
  <c r="N490" i="3"/>
  <c r="M490" i="3"/>
  <c r="L490" i="3"/>
  <c r="Y489" i="3"/>
  <c r="X489" i="3"/>
  <c r="W489" i="3"/>
  <c r="V489" i="3"/>
  <c r="U489" i="3"/>
  <c r="T489" i="3"/>
  <c r="S489" i="3"/>
  <c r="R489" i="3"/>
  <c r="Q489" i="3"/>
  <c r="P489" i="3"/>
  <c r="O489" i="3"/>
  <c r="N489" i="3"/>
  <c r="M489" i="3"/>
  <c r="L489" i="3"/>
  <c r="Y488" i="3"/>
  <c r="X488" i="3"/>
  <c r="W488" i="3"/>
  <c r="V488" i="3"/>
  <c r="U488" i="3"/>
  <c r="T488" i="3"/>
  <c r="S488" i="3"/>
  <c r="R488" i="3"/>
  <c r="Q488" i="3"/>
  <c r="P488" i="3"/>
  <c r="O488" i="3"/>
  <c r="N488" i="3"/>
  <c r="M488" i="3"/>
  <c r="L488" i="3"/>
  <c r="Y487" i="3"/>
  <c r="X487" i="3"/>
  <c r="W487" i="3"/>
  <c r="V487" i="3"/>
  <c r="U487" i="3"/>
  <c r="T487" i="3"/>
  <c r="S487" i="3"/>
  <c r="R487" i="3"/>
  <c r="Q487" i="3"/>
  <c r="P487" i="3"/>
  <c r="O487" i="3"/>
  <c r="N487" i="3"/>
  <c r="M487" i="3"/>
  <c r="L487" i="3"/>
  <c r="Y486" i="3"/>
  <c r="X486" i="3"/>
  <c r="W486" i="3"/>
  <c r="V486" i="3"/>
  <c r="U486" i="3"/>
  <c r="T486" i="3"/>
  <c r="S486" i="3"/>
  <c r="R486" i="3"/>
  <c r="Q486" i="3"/>
  <c r="P486" i="3"/>
  <c r="O486" i="3"/>
  <c r="N486" i="3"/>
  <c r="M486" i="3"/>
  <c r="L486" i="3"/>
  <c r="Y485" i="3"/>
  <c r="X485" i="3"/>
  <c r="W485" i="3"/>
  <c r="V485" i="3"/>
  <c r="U485" i="3"/>
  <c r="T485" i="3"/>
  <c r="S485" i="3"/>
  <c r="R485" i="3"/>
  <c r="Q485" i="3"/>
  <c r="P485" i="3"/>
  <c r="O485" i="3"/>
  <c r="N485" i="3"/>
  <c r="M485" i="3"/>
  <c r="L485" i="3"/>
  <c r="Y484" i="3"/>
  <c r="X484" i="3"/>
  <c r="W484" i="3"/>
  <c r="V484" i="3"/>
  <c r="U484" i="3"/>
  <c r="T484" i="3"/>
  <c r="S484" i="3"/>
  <c r="R484" i="3"/>
  <c r="Q484" i="3"/>
  <c r="P484" i="3"/>
  <c r="O484" i="3"/>
  <c r="N484" i="3"/>
  <c r="M484" i="3"/>
  <c r="L484" i="3"/>
  <c r="Y483" i="3"/>
  <c r="X483" i="3"/>
  <c r="W483" i="3"/>
  <c r="V483" i="3"/>
  <c r="U483" i="3"/>
  <c r="T483" i="3"/>
  <c r="S483" i="3"/>
  <c r="R483" i="3"/>
  <c r="Q483" i="3"/>
  <c r="P483" i="3"/>
  <c r="O483" i="3"/>
  <c r="N483" i="3"/>
  <c r="M483" i="3"/>
  <c r="L483" i="3"/>
  <c r="Y482" i="3"/>
  <c r="X482" i="3"/>
  <c r="W482" i="3"/>
  <c r="V482" i="3"/>
  <c r="U482" i="3"/>
  <c r="T482" i="3"/>
  <c r="S482" i="3"/>
  <c r="R482" i="3"/>
  <c r="Q482" i="3"/>
  <c r="P482" i="3"/>
  <c r="O482" i="3"/>
  <c r="N482" i="3"/>
  <c r="M482" i="3"/>
  <c r="L482" i="3"/>
  <c r="Y481" i="3"/>
  <c r="X481" i="3"/>
  <c r="W481" i="3"/>
  <c r="V481" i="3"/>
  <c r="U481" i="3"/>
  <c r="T481" i="3"/>
  <c r="S481" i="3"/>
  <c r="R481" i="3"/>
  <c r="Q481" i="3"/>
  <c r="P481" i="3"/>
  <c r="O481" i="3"/>
  <c r="N481" i="3"/>
  <c r="M481" i="3"/>
  <c r="L481" i="3"/>
  <c r="Y480" i="3"/>
  <c r="X480" i="3"/>
  <c r="W480" i="3"/>
  <c r="V480" i="3"/>
  <c r="U480" i="3"/>
  <c r="T480" i="3"/>
  <c r="S480" i="3"/>
  <c r="R480" i="3"/>
  <c r="Q480" i="3"/>
  <c r="P480" i="3"/>
  <c r="O480" i="3"/>
  <c r="N480" i="3"/>
  <c r="M480" i="3"/>
  <c r="L480" i="3"/>
  <c r="Y479" i="3"/>
  <c r="X479" i="3"/>
  <c r="W479" i="3"/>
  <c r="V479" i="3"/>
  <c r="U479" i="3"/>
  <c r="T479" i="3"/>
  <c r="S479" i="3"/>
  <c r="R479" i="3"/>
  <c r="Q479" i="3"/>
  <c r="P479" i="3"/>
  <c r="O479" i="3"/>
  <c r="N479" i="3"/>
  <c r="M479" i="3"/>
  <c r="L479" i="3"/>
  <c r="Y478" i="3"/>
  <c r="X478" i="3"/>
  <c r="W478" i="3"/>
  <c r="V478" i="3"/>
  <c r="U478" i="3"/>
  <c r="T478" i="3"/>
  <c r="S478" i="3"/>
  <c r="R478" i="3"/>
  <c r="Q478" i="3"/>
  <c r="P478" i="3"/>
  <c r="O478" i="3"/>
  <c r="N478" i="3"/>
  <c r="M478" i="3"/>
  <c r="L478" i="3"/>
  <c r="Y477" i="3"/>
  <c r="X477" i="3"/>
  <c r="W477" i="3"/>
  <c r="V477" i="3"/>
  <c r="U477" i="3"/>
  <c r="T477" i="3"/>
  <c r="S477" i="3"/>
  <c r="R477" i="3"/>
  <c r="Q477" i="3"/>
  <c r="P477" i="3"/>
  <c r="O477" i="3"/>
  <c r="N477" i="3"/>
  <c r="M477" i="3"/>
  <c r="L477" i="3"/>
  <c r="Y476" i="3"/>
  <c r="X476" i="3"/>
  <c r="W476" i="3"/>
  <c r="V476" i="3"/>
  <c r="U476" i="3"/>
  <c r="T476" i="3"/>
  <c r="S476" i="3"/>
  <c r="R476" i="3"/>
  <c r="Q476" i="3"/>
  <c r="P476" i="3"/>
  <c r="O476" i="3"/>
  <c r="N476" i="3"/>
  <c r="M476" i="3"/>
  <c r="L476" i="3"/>
  <c r="Y475" i="3"/>
  <c r="X475" i="3"/>
  <c r="W475" i="3"/>
  <c r="V475" i="3"/>
  <c r="U475" i="3"/>
  <c r="T475" i="3"/>
  <c r="S475" i="3"/>
  <c r="R475" i="3"/>
  <c r="Q475" i="3"/>
  <c r="P475" i="3"/>
  <c r="O475" i="3"/>
  <c r="N475" i="3"/>
  <c r="M475" i="3"/>
  <c r="L475" i="3"/>
  <c r="Y474" i="3"/>
  <c r="X474" i="3"/>
  <c r="W474" i="3"/>
  <c r="V474" i="3"/>
  <c r="U474" i="3"/>
  <c r="T474" i="3"/>
  <c r="S474" i="3"/>
  <c r="R474" i="3"/>
  <c r="Q474" i="3"/>
  <c r="P474" i="3"/>
  <c r="O474" i="3"/>
  <c r="N474" i="3"/>
  <c r="M474" i="3"/>
  <c r="L474" i="3"/>
  <c r="Y473" i="3"/>
  <c r="X473" i="3"/>
  <c r="W473" i="3"/>
  <c r="V473" i="3"/>
  <c r="U473" i="3"/>
  <c r="T473" i="3"/>
  <c r="S473" i="3"/>
  <c r="R473" i="3"/>
  <c r="Q473" i="3"/>
  <c r="P473" i="3"/>
  <c r="O473" i="3"/>
  <c r="N473" i="3"/>
  <c r="M473" i="3"/>
  <c r="L473" i="3"/>
  <c r="Y472" i="3"/>
  <c r="X472" i="3"/>
  <c r="W472" i="3"/>
  <c r="V472" i="3"/>
  <c r="U472" i="3"/>
  <c r="T472" i="3"/>
  <c r="S472" i="3"/>
  <c r="R472" i="3"/>
  <c r="Q472" i="3"/>
  <c r="P472" i="3"/>
  <c r="O472" i="3"/>
  <c r="N472" i="3"/>
  <c r="M472" i="3"/>
  <c r="L472" i="3"/>
  <c r="Y471" i="3"/>
  <c r="X471" i="3"/>
  <c r="W471" i="3"/>
  <c r="V471" i="3"/>
  <c r="U471" i="3"/>
  <c r="T471" i="3"/>
  <c r="S471" i="3"/>
  <c r="R471" i="3"/>
  <c r="Q471" i="3"/>
  <c r="P471" i="3"/>
  <c r="O471" i="3"/>
  <c r="N471" i="3"/>
  <c r="M471" i="3"/>
  <c r="L471" i="3"/>
  <c r="Y470" i="3"/>
  <c r="X470" i="3"/>
  <c r="W470" i="3"/>
  <c r="V470" i="3"/>
  <c r="U470" i="3"/>
  <c r="T470" i="3"/>
  <c r="S470" i="3"/>
  <c r="R470" i="3"/>
  <c r="Q470" i="3"/>
  <c r="P470" i="3"/>
  <c r="O470" i="3"/>
  <c r="N470" i="3"/>
  <c r="M470" i="3"/>
  <c r="L470" i="3"/>
  <c r="Y469" i="3"/>
  <c r="X469" i="3"/>
  <c r="W469" i="3"/>
  <c r="V469" i="3"/>
  <c r="U469" i="3"/>
  <c r="T469" i="3"/>
  <c r="S469" i="3"/>
  <c r="R469" i="3"/>
  <c r="Q469" i="3"/>
  <c r="P469" i="3"/>
  <c r="O469" i="3"/>
  <c r="N469" i="3"/>
  <c r="M469" i="3"/>
  <c r="L469" i="3"/>
  <c r="Y468" i="3"/>
  <c r="X468" i="3"/>
  <c r="W468" i="3"/>
  <c r="V468" i="3"/>
  <c r="U468" i="3"/>
  <c r="T468" i="3"/>
  <c r="S468" i="3"/>
  <c r="R468" i="3"/>
  <c r="Q468" i="3"/>
  <c r="P468" i="3"/>
  <c r="O468" i="3"/>
  <c r="N468" i="3"/>
  <c r="M468" i="3"/>
  <c r="L468" i="3"/>
  <c r="Y467" i="3"/>
  <c r="X467" i="3"/>
  <c r="W467" i="3"/>
  <c r="V467" i="3"/>
  <c r="U467" i="3"/>
  <c r="T467" i="3"/>
  <c r="S467" i="3"/>
  <c r="R467" i="3"/>
  <c r="Q467" i="3"/>
  <c r="P467" i="3"/>
  <c r="O467" i="3"/>
  <c r="N467" i="3"/>
  <c r="M467" i="3"/>
  <c r="L467" i="3"/>
  <c r="Y466" i="3"/>
  <c r="X466" i="3"/>
  <c r="W466" i="3"/>
  <c r="V466" i="3"/>
  <c r="U466" i="3"/>
  <c r="T466" i="3"/>
  <c r="S466" i="3"/>
  <c r="R466" i="3"/>
  <c r="Q466" i="3"/>
  <c r="P466" i="3"/>
  <c r="O466" i="3"/>
  <c r="N466" i="3"/>
  <c r="M466" i="3"/>
  <c r="L466" i="3"/>
  <c r="Y465" i="3"/>
  <c r="X465" i="3"/>
  <c r="W465" i="3"/>
  <c r="V465" i="3"/>
  <c r="U465" i="3"/>
  <c r="T465" i="3"/>
  <c r="S465" i="3"/>
  <c r="R465" i="3"/>
  <c r="Q465" i="3"/>
  <c r="P465" i="3"/>
  <c r="O465" i="3"/>
  <c r="N465" i="3"/>
  <c r="M465" i="3"/>
  <c r="L465" i="3"/>
  <c r="Y464" i="3"/>
  <c r="X464" i="3"/>
  <c r="W464" i="3"/>
  <c r="V464" i="3"/>
  <c r="U464" i="3"/>
  <c r="T464" i="3"/>
  <c r="S464" i="3"/>
  <c r="R464" i="3"/>
  <c r="Q464" i="3"/>
  <c r="P464" i="3"/>
  <c r="O464" i="3"/>
  <c r="N464" i="3"/>
  <c r="M464" i="3"/>
  <c r="L464" i="3"/>
  <c r="Y463" i="3"/>
  <c r="X463" i="3"/>
  <c r="W463" i="3"/>
  <c r="V463" i="3"/>
  <c r="U463" i="3"/>
  <c r="T463" i="3"/>
  <c r="S463" i="3"/>
  <c r="R463" i="3"/>
  <c r="Q463" i="3"/>
  <c r="P463" i="3"/>
  <c r="O463" i="3"/>
  <c r="N463" i="3"/>
  <c r="M463" i="3"/>
  <c r="L463" i="3"/>
  <c r="Y462" i="3"/>
  <c r="X462" i="3"/>
  <c r="W462" i="3"/>
  <c r="V462" i="3"/>
  <c r="U462" i="3"/>
  <c r="T462" i="3"/>
  <c r="S462" i="3"/>
  <c r="R462" i="3"/>
  <c r="Q462" i="3"/>
  <c r="P462" i="3"/>
  <c r="O462" i="3"/>
  <c r="N462" i="3"/>
  <c r="M462" i="3"/>
  <c r="L462" i="3"/>
  <c r="Y461" i="3"/>
  <c r="X461" i="3"/>
  <c r="W461" i="3"/>
  <c r="V461" i="3"/>
  <c r="U461" i="3"/>
  <c r="T461" i="3"/>
  <c r="S461" i="3"/>
  <c r="R461" i="3"/>
  <c r="Q461" i="3"/>
  <c r="P461" i="3"/>
  <c r="O461" i="3"/>
  <c r="N461" i="3"/>
  <c r="M461" i="3"/>
  <c r="L461" i="3"/>
  <c r="Y460" i="3"/>
  <c r="X460" i="3"/>
  <c r="W460" i="3"/>
  <c r="V460" i="3"/>
  <c r="U460" i="3"/>
  <c r="T460" i="3"/>
  <c r="S460" i="3"/>
  <c r="R460" i="3"/>
  <c r="Q460" i="3"/>
  <c r="P460" i="3"/>
  <c r="O460" i="3"/>
  <c r="N460" i="3"/>
  <c r="M460" i="3"/>
  <c r="L460" i="3"/>
  <c r="Y459" i="3"/>
  <c r="X459" i="3"/>
  <c r="W459" i="3"/>
  <c r="V459" i="3"/>
  <c r="U459" i="3"/>
  <c r="T459" i="3"/>
  <c r="S459" i="3"/>
  <c r="R459" i="3"/>
  <c r="Q459" i="3"/>
  <c r="P459" i="3"/>
  <c r="O459" i="3"/>
  <c r="N459" i="3"/>
  <c r="M459" i="3"/>
  <c r="L459" i="3"/>
  <c r="Y458" i="3"/>
  <c r="X458" i="3"/>
  <c r="W458" i="3"/>
  <c r="V458" i="3"/>
  <c r="U458" i="3"/>
  <c r="T458" i="3"/>
  <c r="S458" i="3"/>
  <c r="R458" i="3"/>
  <c r="Q458" i="3"/>
  <c r="P458" i="3"/>
  <c r="O458" i="3"/>
  <c r="N458" i="3"/>
  <c r="M458" i="3"/>
  <c r="L458" i="3"/>
  <c r="Y457" i="3"/>
  <c r="X457" i="3"/>
  <c r="W457" i="3"/>
  <c r="V457" i="3"/>
  <c r="U457" i="3"/>
  <c r="T457" i="3"/>
  <c r="S457" i="3"/>
  <c r="R457" i="3"/>
  <c r="Q457" i="3"/>
  <c r="P457" i="3"/>
  <c r="O457" i="3"/>
  <c r="N457" i="3"/>
  <c r="M457" i="3"/>
  <c r="L457" i="3"/>
  <c r="Y456" i="3"/>
  <c r="X456" i="3"/>
  <c r="W456" i="3"/>
  <c r="V456" i="3"/>
  <c r="U456" i="3"/>
  <c r="T456" i="3"/>
  <c r="S456" i="3"/>
  <c r="R456" i="3"/>
  <c r="Q456" i="3"/>
  <c r="P456" i="3"/>
  <c r="O456" i="3"/>
  <c r="N456" i="3"/>
  <c r="M456" i="3"/>
  <c r="L456" i="3"/>
  <c r="Y455" i="3"/>
  <c r="X455" i="3"/>
  <c r="W455" i="3"/>
  <c r="V455" i="3"/>
  <c r="U455" i="3"/>
  <c r="T455" i="3"/>
  <c r="S455" i="3"/>
  <c r="R455" i="3"/>
  <c r="Q455" i="3"/>
  <c r="P455" i="3"/>
  <c r="O455" i="3"/>
  <c r="N455" i="3"/>
  <c r="M455" i="3"/>
  <c r="L455" i="3"/>
  <c r="Y454" i="3"/>
  <c r="X454" i="3"/>
  <c r="W454" i="3"/>
  <c r="V454" i="3"/>
  <c r="U454" i="3"/>
  <c r="T454" i="3"/>
  <c r="S454" i="3"/>
  <c r="R454" i="3"/>
  <c r="Q454" i="3"/>
  <c r="P454" i="3"/>
  <c r="O454" i="3"/>
  <c r="N454" i="3"/>
  <c r="M454" i="3"/>
  <c r="L454" i="3"/>
  <c r="Y453" i="3"/>
  <c r="X453" i="3"/>
  <c r="W453" i="3"/>
  <c r="V453" i="3"/>
  <c r="U453" i="3"/>
  <c r="T453" i="3"/>
  <c r="S453" i="3"/>
  <c r="R453" i="3"/>
  <c r="Q453" i="3"/>
  <c r="P453" i="3"/>
  <c r="O453" i="3"/>
  <c r="N453" i="3"/>
  <c r="M453" i="3"/>
  <c r="L453" i="3"/>
  <c r="Y452" i="3"/>
  <c r="X452" i="3"/>
  <c r="W452" i="3"/>
  <c r="V452" i="3"/>
  <c r="U452" i="3"/>
  <c r="T452" i="3"/>
  <c r="S452" i="3"/>
  <c r="R452" i="3"/>
  <c r="Q452" i="3"/>
  <c r="P452" i="3"/>
  <c r="O452" i="3"/>
  <c r="N452" i="3"/>
  <c r="M452" i="3"/>
  <c r="L452" i="3"/>
  <c r="Y451" i="3"/>
  <c r="X451" i="3"/>
  <c r="W451" i="3"/>
  <c r="V451" i="3"/>
  <c r="U451" i="3"/>
  <c r="T451" i="3"/>
  <c r="S451" i="3"/>
  <c r="R451" i="3"/>
  <c r="Q451" i="3"/>
  <c r="P451" i="3"/>
  <c r="O451" i="3"/>
  <c r="N451" i="3"/>
  <c r="M451" i="3"/>
  <c r="L451" i="3"/>
  <c r="Y450" i="3"/>
  <c r="X450" i="3"/>
  <c r="W450" i="3"/>
  <c r="V450" i="3"/>
  <c r="U450" i="3"/>
  <c r="T450" i="3"/>
  <c r="S450" i="3"/>
  <c r="R450" i="3"/>
  <c r="Q450" i="3"/>
  <c r="P450" i="3"/>
  <c r="O450" i="3"/>
  <c r="N450" i="3"/>
  <c r="M450" i="3"/>
  <c r="L450" i="3"/>
  <c r="Y449" i="3"/>
  <c r="X449" i="3"/>
  <c r="W449" i="3"/>
  <c r="V449" i="3"/>
  <c r="U449" i="3"/>
  <c r="T449" i="3"/>
  <c r="S449" i="3"/>
  <c r="R449" i="3"/>
  <c r="Q449" i="3"/>
  <c r="P449" i="3"/>
  <c r="O449" i="3"/>
  <c r="N449" i="3"/>
  <c r="M449" i="3"/>
  <c r="L449" i="3"/>
  <c r="Y448" i="3"/>
  <c r="X448" i="3"/>
  <c r="W448" i="3"/>
  <c r="V448" i="3"/>
  <c r="U448" i="3"/>
  <c r="T448" i="3"/>
  <c r="S448" i="3"/>
  <c r="R448" i="3"/>
  <c r="Q448" i="3"/>
  <c r="P448" i="3"/>
  <c r="O448" i="3"/>
  <c r="N448" i="3"/>
  <c r="M448" i="3"/>
  <c r="L448" i="3"/>
  <c r="Y447" i="3"/>
  <c r="X447" i="3"/>
  <c r="W447" i="3"/>
  <c r="V447" i="3"/>
  <c r="U447" i="3"/>
  <c r="T447" i="3"/>
  <c r="S447" i="3"/>
  <c r="R447" i="3"/>
  <c r="Q447" i="3"/>
  <c r="P447" i="3"/>
  <c r="O447" i="3"/>
  <c r="N447" i="3"/>
  <c r="M447" i="3"/>
  <c r="L447" i="3"/>
  <c r="Y446" i="3"/>
  <c r="X446" i="3"/>
  <c r="W446" i="3"/>
  <c r="V446" i="3"/>
  <c r="U446" i="3"/>
  <c r="T446" i="3"/>
  <c r="S446" i="3"/>
  <c r="R446" i="3"/>
  <c r="Q446" i="3"/>
  <c r="P446" i="3"/>
  <c r="O446" i="3"/>
  <c r="N446" i="3"/>
  <c r="M446" i="3"/>
  <c r="L446" i="3"/>
  <c r="Y445" i="3"/>
  <c r="X445" i="3"/>
  <c r="W445" i="3"/>
  <c r="V445" i="3"/>
  <c r="U445" i="3"/>
  <c r="T445" i="3"/>
  <c r="S445" i="3"/>
  <c r="R445" i="3"/>
  <c r="Q445" i="3"/>
  <c r="P445" i="3"/>
  <c r="O445" i="3"/>
  <c r="N445" i="3"/>
  <c r="M445" i="3"/>
  <c r="L445" i="3"/>
  <c r="Y444" i="3"/>
  <c r="X444" i="3"/>
  <c r="W444" i="3"/>
  <c r="V444" i="3"/>
  <c r="U444" i="3"/>
  <c r="T444" i="3"/>
  <c r="S444" i="3"/>
  <c r="R444" i="3"/>
  <c r="Q444" i="3"/>
  <c r="P444" i="3"/>
  <c r="O444" i="3"/>
  <c r="N444" i="3"/>
  <c r="M444" i="3"/>
  <c r="L444" i="3"/>
  <c r="Y443" i="3"/>
  <c r="X443" i="3"/>
  <c r="W443" i="3"/>
  <c r="V443" i="3"/>
  <c r="U443" i="3"/>
  <c r="T443" i="3"/>
  <c r="S443" i="3"/>
  <c r="R443" i="3"/>
  <c r="Q443" i="3"/>
  <c r="P443" i="3"/>
  <c r="O443" i="3"/>
  <c r="N443" i="3"/>
  <c r="M443" i="3"/>
  <c r="L443" i="3"/>
  <c r="Y442" i="3"/>
  <c r="X442" i="3"/>
  <c r="W442" i="3"/>
  <c r="V442" i="3"/>
  <c r="U442" i="3"/>
  <c r="T442" i="3"/>
  <c r="S442" i="3"/>
  <c r="R442" i="3"/>
  <c r="Q442" i="3"/>
  <c r="P442" i="3"/>
  <c r="O442" i="3"/>
  <c r="N442" i="3"/>
  <c r="M442" i="3"/>
  <c r="L442" i="3"/>
  <c r="Y441" i="3"/>
  <c r="X441" i="3"/>
  <c r="W441" i="3"/>
  <c r="V441" i="3"/>
  <c r="U441" i="3"/>
  <c r="T441" i="3"/>
  <c r="S441" i="3"/>
  <c r="R441" i="3"/>
  <c r="Q441" i="3"/>
  <c r="P441" i="3"/>
  <c r="O441" i="3"/>
  <c r="N441" i="3"/>
  <c r="M441" i="3"/>
  <c r="L441" i="3"/>
  <c r="Y440" i="3"/>
  <c r="X440" i="3"/>
  <c r="W440" i="3"/>
  <c r="V440" i="3"/>
  <c r="U440" i="3"/>
  <c r="T440" i="3"/>
  <c r="S440" i="3"/>
  <c r="R440" i="3"/>
  <c r="Q440" i="3"/>
  <c r="P440" i="3"/>
  <c r="O440" i="3"/>
  <c r="N440" i="3"/>
  <c r="M440" i="3"/>
  <c r="L440" i="3"/>
  <c r="Y439" i="3"/>
  <c r="X439" i="3"/>
  <c r="W439" i="3"/>
  <c r="V439" i="3"/>
  <c r="U439" i="3"/>
  <c r="T439" i="3"/>
  <c r="S439" i="3"/>
  <c r="R439" i="3"/>
  <c r="Q439" i="3"/>
  <c r="P439" i="3"/>
  <c r="O439" i="3"/>
  <c r="N439" i="3"/>
  <c r="M439" i="3"/>
  <c r="L439" i="3"/>
  <c r="Y438" i="3"/>
  <c r="X438" i="3"/>
  <c r="W438" i="3"/>
  <c r="V438" i="3"/>
  <c r="U438" i="3"/>
  <c r="T438" i="3"/>
  <c r="S438" i="3"/>
  <c r="R438" i="3"/>
  <c r="Q438" i="3"/>
  <c r="P438" i="3"/>
  <c r="O438" i="3"/>
  <c r="N438" i="3"/>
  <c r="M438" i="3"/>
  <c r="L438" i="3"/>
  <c r="Y437" i="3"/>
  <c r="X437" i="3"/>
  <c r="W437" i="3"/>
  <c r="V437" i="3"/>
  <c r="U437" i="3"/>
  <c r="T437" i="3"/>
  <c r="S437" i="3"/>
  <c r="R437" i="3"/>
  <c r="Q437" i="3"/>
  <c r="P437" i="3"/>
  <c r="O437" i="3"/>
  <c r="N437" i="3"/>
  <c r="M437" i="3"/>
  <c r="L437" i="3"/>
  <c r="Y436" i="3"/>
  <c r="X436" i="3"/>
  <c r="W436" i="3"/>
  <c r="V436" i="3"/>
  <c r="U436" i="3"/>
  <c r="T436" i="3"/>
  <c r="S436" i="3"/>
  <c r="R436" i="3"/>
  <c r="Q436" i="3"/>
  <c r="P436" i="3"/>
  <c r="O436" i="3"/>
  <c r="N436" i="3"/>
  <c r="M436" i="3"/>
  <c r="L436" i="3"/>
  <c r="Y435" i="3"/>
  <c r="X435" i="3"/>
  <c r="W435" i="3"/>
  <c r="V435" i="3"/>
  <c r="U435" i="3"/>
  <c r="T435" i="3"/>
  <c r="S435" i="3"/>
  <c r="R435" i="3"/>
  <c r="Q435" i="3"/>
  <c r="P435" i="3"/>
  <c r="O435" i="3"/>
  <c r="N435" i="3"/>
  <c r="M435" i="3"/>
  <c r="L435" i="3"/>
  <c r="Y434" i="3"/>
  <c r="X434" i="3"/>
  <c r="W434" i="3"/>
  <c r="V434" i="3"/>
  <c r="U434" i="3"/>
  <c r="T434" i="3"/>
  <c r="S434" i="3"/>
  <c r="R434" i="3"/>
  <c r="Q434" i="3"/>
  <c r="P434" i="3"/>
  <c r="O434" i="3"/>
  <c r="N434" i="3"/>
  <c r="M434" i="3"/>
  <c r="L434" i="3"/>
  <c r="Y433" i="3"/>
  <c r="X433" i="3"/>
  <c r="W433" i="3"/>
  <c r="V433" i="3"/>
  <c r="U433" i="3"/>
  <c r="T433" i="3"/>
  <c r="S433" i="3"/>
  <c r="R433" i="3"/>
  <c r="Q433" i="3"/>
  <c r="P433" i="3"/>
  <c r="O433" i="3"/>
  <c r="N433" i="3"/>
  <c r="M433" i="3"/>
  <c r="L433" i="3"/>
  <c r="Y432" i="3"/>
  <c r="X432" i="3"/>
  <c r="W432" i="3"/>
  <c r="V432" i="3"/>
  <c r="U432" i="3"/>
  <c r="T432" i="3"/>
  <c r="S432" i="3"/>
  <c r="R432" i="3"/>
  <c r="Q432" i="3"/>
  <c r="P432" i="3"/>
  <c r="O432" i="3"/>
  <c r="N432" i="3"/>
  <c r="M432" i="3"/>
  <c r="L432" i="3"/>
  <c r="Y431" i="3"/>
  <c r="X431" i="3"/>
  <c r="W431" i="3"/>
  <c r="V431" i="3"/>
  <c r="U431" i="3"/>
  <c r="T431" i="3"/>
  <c r="S431" i="3"/>
  <c r="R431" i="3"/>
  <c r="Q431" i="3"/>
  <c r="P431" i="3"/>
  <c r="O431" i="3"/>
  <c r="N431" i="3"/>
  <c r="M431" i="3"/>
  <c r="L431" i="3"/>
  <c r="Y430" i="3"/>
  <c r="X430" i="3"/>
  <c r="W430" i="3"/>
  <c r="V430" i="3"/>
  <c r="U430" i="3"/>
  <c r="T430" i="3"/>
  <c r="S430" i="3"/>
  <c r="R430" i="3"/>
  <c r="Q430" i="3"/>
  <c r="P430" i="3"/>
  <c r="O430" i="3"/>
  <c r="N430" i="3"/>
  <c r="M430" i="3"/>
  <c r="L430" i="3"/>
  <c r="Y429" i="3"/>
  <c r="X429" i="3"/>
  <c r="W429" i="3"/>
  <c r="V429" i="3"/>
  <c r="U429" i="3"/>
  <c r="T429" i="3"/>
  <c r="S429" i="3"/>
  <c r="R429" i="3"/>
  <c r="Q429" i="3"/>
  <c r="P429" i="3"/>
  <c r="O429" i="3"/>
  <c r="N429" i="3"/>
  <c r="M429" i="3"/>
  <c r="L429" i="3"/>
  <c r="Y428" i="3"/>
  <c r="X428" i="3"/>
  <c r="W428" i="3"/>
  <c r="V428" i="3"/>
  <c r="U428" i="3"/>
  <c r="T428" i="3"/>
  <c r="S428" i="3"/>
  <c r="R428" i="3"/>
  <c r="Q428" i="3"/>
  <c r="P428" i="3"/>
  <c r="O428" i="3"/>
  <c r="N428" i="3"/>
  <c r="M428" i="3"/>
  <c r="L428" i="3"/>
  <c r="Y427" i="3"/>
  <c r="X427" i="3"/>
  <c r="W427" i="3"/>
  <c r="V427" i="3"/>
  <c r="U427" i="3"/>
  <c r="T427" i="3"/>
  <c r="S427" i="3"/>
  <c r="R427" i="3"/>
  <c r="Q427" i="3"/>
  <c r="P427" i="3"/>
  <c r="O427" i="3"/>
  <c r="N427" i="3"/>
  <c r="M427" i="3"/>
  <c r="L427" i="3"/>
  <c r="Y426" i="3"/>
  <c r="X426" i="3"/>
  <c r="W426" i="3"/>
  <c r="V426" i="3"/>
  <c r="U426" i="3"/>
  <c r="T426" i="3"/>
  <c r="S426" i="3"/>
  <c r="R426" i="3"/>
  <c r="Q426" i="3"/>
  <c r="P426" i="3"/>
  <c r="O426" i="3"/>
  <c r="N426" i="3"/>
  <c r="M426" i="3"/>
  <c r="L426" i="3"/>
  <c r="Y425" i="3"/>
  <c r="X425" i="3"/>
  <c r="W425" i="3"/>
  <c r="V425" i="3"/>
  <c r="U425" i="3"/>
  <c r="T425" i="3"/>
  <c r="S425" i="3"/>
  <c r="R425" i="3"/>
  <c r="Q425" i="3"/>
  <c r="P425" i="3"/>
  <c r="O425" i="3"/>
  <c r="N425" i="3"/>
  <c r="M425" i="3"/>
  <c r="L425" i="3"/>
  <c r="Y424" i="3"/>
  <c r="X424" i="3"/>
  <c r="W424" i="3"/>
  <c r="V424" i="3"/>
  <c r="U424" i="3"/>
  <c r="T424" i="3"/>
  <c r="S424" i="3"/>
  <c r="R424" i="3"/>
  <c r="Q424" i="3"/>
  <c r="P424" i="3"/>
  <c r="O424" i="3"/>
  <c r="N424" i="3"/>
  <c r="M424" i="3"/>
  <c r="L424" i="3"/>
  <c r="Y423" i="3"/>
  <c r="X423" i="3"/>
  <c r="W423" i="3"/>
  <c r="V423" i="3"/>
  <c r="U423" i="3"/>
  <c r="T423" i="3"/>
  <c r="S423" i="3"/>
  <c r="R423" i="3"/>
  <c r="Q423" i="3"/>
  <c r="P423" i="3"/>
  <c r="O423" i="3"/>
  <c r="N423" i="3"/>
  <c r="M423" i="3"/>
  <c r="L423" i="3"/>
  <c r="Y422" i="3"/>
  <c r="X422" i="3"/>
  <c r="W422" i="3"/>
  <c r="V422" i="3"/>
  <c r="U422" i="3"/>
  <c r="T422" i="3"/>
  <c r="S422" i="3"/>
  <c r="R422" i="3"/>
  <c r="Q422" i="3"/>
  <c r="P422" i="3"/>
  <c r="O422" i="3"/>
  <c r="N422" i="3"/>
  <c r="M422" i="3"/>
  <c r="L422" i="3"/>
  <c r="Y421" i="3"/>
  <c r="X421" i="3"/>
  <c r="W421" i="3"/>
  <c r="V421" i="3"/>
  <c r="U421" i="3"/>
  <c r="T421" i="3"/>
  <c r="S421" i="3"/>
  <c r="R421" i="3"/>
  <c r="Q421" i="3"/>
  <c r="P421" i="3"/>
  <c r="O421" i="3"/>
  <c r="N421" i="3"/>
  <c r="M421" i="3"/>
  <c r="L421" i="3"/>
  <c r="Y420" i="3"/>
  <c r="X420" i="3"/>
  <c r="W420" i="3"/>
  <c r="V420" i="3"/>
  <c r="U420" i="3"/>
  <c r="T420" i="3"/>
  <c r="S420" i="3"/>
  <c r="R420" i="3"/>
  <c r="Q420" i="3"/>
  <c r="P420" i="3"/>
  <c r="O420" i="3"/>
  <c r="N420" i="3"/>
  <c r="M420" i="3"/>
  <c r="L420" i="3"/>
  <c r="Y419" i="3"/>
  <c r="X419" i="3"/>
  <c r="W419" i="3"/>
  <c r="V419" i="3"/>
  <c r="U419" i="3"/>
  <c r="T419" i="3"/>
  <c r="S419" i="3"/>
  <c r="R419" i="3"/>
  <c r="Q419" i="3"/>
  <c r="P419" i="3"/>
  <c r="O419" i="3"/>
  <c r="N419" i="3"/>
  <c r="M419" i="3"/>
  <c r="L419" i="3"/>
  <c r="Y418" i="3"/>
  <c r="X418" i="3"/>
  <c r="W418" i="3"/>
  <c r="V418" i="3"/>
  <c r="U418" i="3"/>
  <c r="T418" i="3"/>
  <c r="S418" i="3"/>
  <c r="R418" i="3"/>
  <c r="Q418" i="3"/>
  <c r="P418" i="3"/>
  <c r="O418" i="3"/>
  <c r="N418" i="3"/>
  <c r="M418" i="3"/>
  <c r="L418" i="3"/>
  <c r="Y417" i="3"/>
  <c r="X417" i="3"/>
  <c r="W417" i="3"/>
  <c r="V417" i="3"/>
  <c r="U417" i="3"/>
  <c r="T417" i="3"/>
  <c r="S417" i="3"/>
  <c r="R417" i="3"/>
  <c r="Q417" i="3"/>
  <c r="P417" i="3"/>
  <c r="O417" i="3"/>
  <c r="N417" i="3"/>
  <c r="M417" i="3"/>
  <c r="L417" i="3"/>
  <c r="Y416" i="3"/>
  <c r="X416" i="3"/>
  <c r="W416" i="3"/>
  <c r="V416" i="3"/>
  <c r="U416" i="3"/>
  <c r="T416" i="3"/>
  <c r="S416" i="3"/>
  <c r="R416" i="3"/>
  <c r="Q416" i="3"/>
  <c r="P416" i="3"/>
  <c r="O416" i="3"/>
  <c r="N416" i="3"/>
  <c r="M416" i="3"/>
  <c r="L416" i="3"/>
  <c r="Y415" i="3"/>
  <c r="X415" i="3"/>
  <c r="W415" i="3"/>
  <c r="V415" i="3"/>
  <c r="U415" i="3"/>
  <c r="T415" i="3"/>
  <c r="S415" i="3"/>
  <c r="R415" i="3"/>
  <c r="Q415" i="3"/>
  <c r="P415" i="3"/>
  <c r="O415" i="3"/>
  <c r="N415" i="3"/>
  <c r="M415" i="3"/>
  <c r="L415" i="3"/>
  <c r="Y414" i="3"/>
  <c r="X414" i="3"/>
  <c r="W414" i="3"/>
  <c r="V414" i="3"/>
  <c r="U414" i="3"/>
  <c r="T414" i="3"/>
  <c r="S414" i="3"/>
  <c r="R414" i="3"/>
  <c r="Q414" i="3"/>
  <c r="P414" i="3"/>
  <c r="O414" i="3"/>
  <c r="N414" i="3"/>
  <c r="M414" i="3"/>
  <c r="L414" i="3"/>
  <c r="Y413" i="3"/>
  <c r="X413" i="3"/>
  <c r="W413" i="3"/>
  <c r="V413" i="3"/>
  <c r="U413" i="3"/>
  <c r="T413" i="3"/>
  <c r="S413" i="3"/>
  <c r="R413" i="3"/>
  <c r="Q413" i="3"/>
  <c r="P413" i="3"/>
  <c r="O413" i="3"/>
  <c r="N413" i="3"/>
  <c r="M413" i="3"/>
  <c r="L413" i="3"/>
  <c r="Y412" i="3"/>
  <c r="X412" i="3"/>
  <c r="W412" i="3"/>
  <c r="V412" i="3"/>
  <c r="U412" i="3"/>
  <c r="T412" i="3"/>
  <c r="S412" i="3"/>
  <c r="R412" i="3"/>
  <c r="Q412" i="3"/>
  <c r="P412" i="3"/>
  <c r="O412" i="3"/>
  <c r="N412" i="3"/>
  <c r="M412" i="3"/>
  <c r="L412" i="3"/>
  <c r="Y411" i="3"/>
  <c r="X411" i="3"/>
  <c r="W411" i="3"/>
  <c r="V411" i="3"/>
  <c r="U411" i="3"/>
  <c r="T411" i="3"/>
  <c r="S411" i="3"/>
  <c r="R411" i="3"/>
  <c r="Q411" i="3"/>
  <c r="P411" i="3"/>
  <c r="O411" i="3"/>
  <c r="N411" i="3"/>
  <c r="M411" i="3"/>
  <c r="L411" i="3"/>
  <c r="Y410" i="3"/>
  <c r="X410" i="3"/>
  <c r="W410" i="3"/>
  <c r="V410" i="3"/>
  <c r="U410" i="3"/>
  <c r="T410" i="3"/>
  <c r="S410" i="3"/>
  <c r="R410" i="3"/>
  <c r="Q410" i="3"/>
  <c r="P410" i="3"/>
  <c r="O410" i="3"/>
  <c r="N410" i="3"/>
  <c r="M410" i="3"/>
  <c r="L410" i="3"/>
  <c r="Y409" i="3"/>
  <c r="X409" i="3"/>
  <c r="W409" i="3"/>
  <c r="V409" i="3"/>
  <c r="U409" i="3"/>
  <c r="T409" i="3"/>
  <c r="S409" i="3"/>
  <c r="R409" i="3"/>
  <c r="Q409" i="3"/>
  <c r="P409" i="3"/>
  <c r="O409" i="3"/>
  <c r="N409" i="3"/>
  <c r="M409" i="3"/>
  <c r="L409" i="3"/>
  <c r="Y408" i="3"/>
  <c r="X408" i="3"/>
  <c r="W408" i="3"/>
  <c r="V408" i="3"/>
  <c r="U408" i="3"/>
  <c r="T408" i="3"/>
  <c r="S408" i="3"/>
  <c r="R408" i="3"/>
  <c r="Q408" i="3"/>
  <c r="P408" i="3"/>
  <c r="O408" i="3"/>
  <c r="N408" i="3"/>
  <c r="M408" i="3"/>
  <c r="L408" i="3"/>
  <c r="Y407" i="3"/>
  <c r="X407" i="3"/>
  <c r="W407" i="3"/>
  <c r="V407" i="3"/>
  <c r="U407" i="3"/>
  <c r="T407" i="3"/>
  <c r="S407" i="3"/>
  <c r="R407" i="3"/>
  <c r="Q407" i="3"/>
  <c r="P407" i="3"/>
  <c r="O407" i="3"/>
  <c r="N407" i="3"/>
  <c r="M407" i="3"/>
  <c r="L407" i="3"/>
  <c r="Y406" i="3"/>
  <c r="X406" i="3"/>
  <c r="W406" i="3"/>
  <c r="V406" i="3"/>
  <c r="U406" i="3"/>
  <c r="T406" i="3"/>
  <c r="S406" i="3"/>
  <c r="R406" i="3"/>
  <c r="Q406" i="3"/>
  <c r="P406" i="3"/>
  <c r="O406" i="3"/>
  <c r="N406" i="3"/>
  <c r="M406" i="3"/>
  <c r="L406" i="3"/>
  <c r="Y405" i="3"/>
  <c r="X405" i="3"/>
  <c r="W405" i="3"/>
  <c r="V405" i="3"/>
  <c r="U405" i="3"/>
  <c r="T405" i="3"/>
  <c r="S405" i="3"/>
  <c r="R405" i="3"/>
  <c r="Q405" i="3"/>
  <c r="P405" i="3"/>
  <c r="O405" i="3"/>
  <c r="N405" i="3"/>
  <c r="M405" i="3"/>
  <c r="L405" i="3"/>
  <c r="Y404" i="3"/>
  <c r="X404" i="3"/>
  <c r="W404" i="3"/>
  <c r="V404" i="3"/>
  <c r="U404" i="3"/>
  <c r="T404" i="3"/>
  <c r="S404" i="3"/>
  <c r="R404" i="3"/>
  <c r="Q404" i="3"/>
  <c r="P404" i="3"/>
  <c r="O404" i="3"/>
  <c r="N404" i="3"/>
  <c r="M404" i="3"/>
  <c r="L404" i="3"/>
  <c r="Y403" i="3"/>
  <c r="X403" i="3"/>
  <c r="W403" i="3"/>
  <c r="V403" i="3"/>
  <c r="U403" i="3"/>
  <c r="T403" i="3"/>
  <c r="S403" i="3"/>
  <c r="R403" i="3"/>
  <c r="Q403" i="3"/>
  <c r="P403" i="3"/>
  <c r="O403" i="3"/>
  <c r="N403" i="3"/>
  <c r="M403" i="3"/>
  <c r="L403" i="3"/>
  <c r="Y402" i="3"/>
  <c r="X402" i="3"/>
  <c r="W402" i="3"/>
  <c r="V402" i="3"/>
  <c r="U402" i="3"/>
  <c r="T402" i="3"/>
  <c r="S402" i="3"/>
  <c r="R402" i="3"/>
  <c r="Q402" i="3"/>
  <c r="P402" i="3"/>
  <c r="O402" i="3"/>
  <c r="N402" i="3"/>
  <c r="M402" i="3"/>
  <c r="L402" i="3"/>
  <c r="Y401" i="3"/>
  <c r="X401" i="3"/>
  <c r="W401" i="3"/>
  <c r="V401" i="3"/>
  <c r="U401" i="3"/>
  <c r="T401" i="3"/>
  <c r="S401" i="3"/>
  <c r="R401" i="3"/>
  <c r="Q401" i="3"/>
  <c r="P401" i="3"/>
  <c r="O401" i="3"/>
  <c r="N401" i="3"/>
  <c r="M401" i="3"/>
  <c r="L401" i="3"/>
  <c r="Y400" i="3"/>
  <c r="X400" i="3"/>
  <c r="W400" i="3"/>
  <c r="V400" i="3"/>
  <c r="U400" i="3"/>
  <c r="T400" i="3"/>
  <c r="S400" i="3"/>
  <c r="R400" i="3"/>
  <c r="Q400" i="3"/>
  <c r="P400" i="3"/>
  <c r="O400" i="3"/>
  <c r="N400" i="3"/>
  <c r="M400" i="3"/>
  <c r="L400" i="3"/>
  <c r="Y399" i="3"/>
  <c r="X399" i="3"/>
  <c r="W399" i="3"/>
  <c r="V399" i="3"/>
  <c r="U399" i="3"/>
  <c r="T399" i="3"/>
  <c r="S399" i="3"/>
  <c r="R399" i="3"/>
  <c r="Q399" i="3"/>
  <c r="P399" i="3"/>
  <c r="O399" i="3"/>
  <c r="N399" i="3"/>
  <c r="M399" i="3"/>
  <c r="L399" i="3"/>
  <c r="Y398" i="3"/>
  <c r="X398" i="3"/>
  <c r="W398" i="3"/>
  <c r="V398" i="3"/>
  <c r="U398" i="3"/>
  <c r="T398" i="3"/>
  <c r="S398" i="3"/>
  <c r="R398" i="3"/>
  <c r="Q398" i="3"/>
  <c r="P398" i="3"/>
  <c r="O398" i="3"/>
  <c r="N398" i="3"/>
  <c r="M398" i="3"/>
  <c r="L398" i="3"/>
  <c r="Y397" i="3"/>
  <c r="X397" i="3"/>
  <c r="W397" i="3"/>
  <c r="V397" i="3"/>
  <c r="U397" i="3"/>
  <c r="T397" i="3"/>
  <c r="S397" i="3"/>
  <c r="R397" i="3"/>
  <c r="Q397" i="3"/>
  <c r="P397" i="3"/>
  <c r="O397" i="3"/>
  <c r="N397" i="3"/>
  <c r="M397" i="3"/>
  <c r="L397" i="3"/>
  <c r="Y396" i="3"/>
  <c r="X396" i="3"/>
  <c r="W396" i="3"/>
  <c r="V396" i="3"/>
  <c r="U396" i="3"/>
  <c r="T396" i="3"/>
  <c r="S396" i="3"/>
  <c r="R396" i="3"/>
  <c r="Q396" i="3"/>
  <c r="P396" i="3"/>
  <c r="O396" i="3"/>
  <c r="N396" i="3"/>
  <c r="M396" i="3"/>
  <c r="L396" i="3"/>
  <c r="Y395" i="3"/>
  <c r="X395" i="3"/>
  <c r="W395" i="3"/>
  <c r="V395" i="3"/>
  <c r="U395" i="3"/>
  <c r="T395" i="3"/>
  <c r="S395" i="3"/>
  <c r="R395" i="3"/>
  <c r="Q395" i="3"/>
  <c r="P395" i="3"/>
  <c r="O395" i="3"/>
  <c r="N395" i="3"/>
  <c r="M395" i="3"/>
  <c r="L395" i="3"/>
  <c r="Y394" i="3"/>
  <c r="X394" i="3"/>
  <c r="W394" i="3"/>
  <c r="V394" i="3"/>
  <c r="U394" i="3"/>
  <c r="T394" i="3"/>
  <c r="S394" i="3"/>
  <c r="R394" i="3"/>
  <c r="Q394" i="3"/>
  <c r="P394" i="3"/>
  <c r="O394" i="3"/>
  <c r="N394" i="3"/>
  <c r="M394" i="3"/>
  <c r="L394" i="3"/>
  <c r="Y393" i="3"/>
  <c r="X393" i="3"/>
  <c r="W393" i="3"/>
  <c r="V393" i="3"/>
  <c r="U393" i="3"/>
  <c r="T393" i="3"/>
  <c r="S393" i="3"/>
  <c r="R393" i="3"/>
  <c r="Q393" i="3"/>
  <c r="P393" i="3"/>
  <c r="O393" i="3"/>
  <c r="N393" i="3"/>
  <c r="M393" i="3"/>
  <c r="L393" i="3"/>
  <c r="Y392" i="3"/>
  <c r="X392" i="3"/>
  <c r="W392" i="3"/>
  <c r="V392" i="3"/>
  <c r="U392" i="3"/>
  <c r="T392" i="3"/>
  <c r="S392" i="3"/>
  <c r="R392" i="3"/>
  <c r="Q392" i="3"/>
  <c r="P392" i="3"/>
  <c r="O392" i="3"/>
  <c r="N392" i="3"/>
  <c r="M392" i="3"/>
  <c r="L392" i="3"/>
  <c r="Y391" i="3"/>
  <c r="X391" i="3"/>
  <c r="W391" i="3"/>
  <c r="V391" i="3"/>
  <c r="U391" i="3"/>
  <c r="T391" i="3"/>
  <c r="S391" i="3"/>
  <c r="R391" i="3"/>
  <c r="Q391" i="3"/>
  <c r="P391" i="3"/>
  <c r="O391" i="3"/>
  <c r="N391" i="3"/>
  <c r="M391" i="3"/>
  <c r="L391" i="3"/>
  <c r="Y390" i="3"/>
  <c r="X390" i="3"/>
  <c r="W390" i="3"/>
  <c r="V390" i="3"/>
  <c r="U390" i="3"/>
  <c r="T390" i="3"/>
  <c r="S390" i="3"/>
  <c r="R390" i="3"/>
  <c r="Q390" i="3"/>
  <c r="P390" i="3"/>
  <c r="O390" i="3"/>
  <c r="N390" i="3"/>
  <c r="M390" i="3"/>
  <c r="L390" i="3"/>
  <c r="Y389" i="3"/>
  <c r="X389" i="3"/>
  <c r="W389" i="3"/>
  <c r="V389" i="3"/>
  <c r="U389" i="3"/>
  <c r="T389" i="3"/>
  <c r="S389" i="3"/>
  <c r="R389" i="3"/>
  <c r="Q389" i="3"/>
  <c r="P389" i="3"/>
  <c r="O389" i="3"/>
  <c r="N389" i="3"/>
  <c r="M389" i="3"/>
  <c r="L389" i="3"/>
  <c r="Y388" i="3"/>
  <c r="X388" i="3"/>
  <c r="W388" i="3"/>
  <c r="V388" i="3"/>
  <c r="U388" i="3"/>
  <c r="T388" i="3"/>
  <c r="S388" i="3"/>
  <c r="R388" i="3"/>
  <c r="Q388" i="3"/>
  <c r="P388" i="3"/>
  <c r="O388" i="3"/>
  <c r="N388" i="3"/>
  <c r="M388" i="3"/>
  <c r="L388" i="3"/>
  <c r="Y387" i="3"/>
  <c r="X387" i="3"/>
  <c r="W387" i="3"/>
  <c r="V387" i="3"/>
  <c r="U387" i="3"/>
  <c r="T387" i="3"/>
  <c r="S387" i="3"/>
  <c r="R387" i="3"/>
  <c r="Q387" i="3"/>
  <c r="P387" i="3"/>
  <c r="O387" i="3"/>
  <c r="N387" i="3"/>
  <c r="M387" i="3"/>
  <c r="L387" i="3"/>
  <c r="Y386" i="3"/>
  <c r="X386" i="3"/>
  <c r="W386" i="3"/>
  <c r="V386" i="3"/>
  <c r="U386" i="3"/>
  <c r="T386" i="3"/>
  <c r="S386" i="3"/>
  <c r="R386" i="3"/>
  <c r="Q386" i="3"/>
  <c r="P386" i="3"/>
  <c r="O386" i="3"/>
  <c r="N386" i="3"/>
  <c r="M386" i="3"/>
  <c r="L386" i="3"/>
  <c r="Y385" i="3"/>
  <c r="X385" i="3"/>
  <c r="W385" i="3"/>
  <c r="V385" i="3"/>
  <c r="U385" i="3"/>
  <c r="T385" i="3"/>
  <c r="S385" i="3"/>
  <c r="R385" i="3"/>
  <c r="Q385" i="3"/>
  <c r="P385" i="3"/>
  <c r="O385" i="3"/>
  <c r="N385" i="3"/>
  <c r="M385" i="3"/>
  <c r="L385" i="3"/>
  <c r="Y384" i="3"/>
  <c r="X384" i="3"/>
  <c r="W384" i="3"/>
  <c r="V384" i="3"/>
  <c r="U384" i="3"/>
  <c r="T384" i="3"/>
  <c r="S384" i="3"/>
  <c r="R384" i="3"/>
  <c r="Q384" i="3"/>
  <c r="P384" i="3"/>
  <c r="O384" i="3"/>
  <c r="N384" i="3"/>
  <c r="M384" i="3"/>
  <c r="L384" i="3"/>
  <c r="Y383" i="3"/>
  <c r="X383" i="3"/>
  <c r="W383" i="3"/>
  <c r="V383" i="3"/>
  <c r="U383" i="3"/>
  <c r="T383" i="3"/>
  <c r="S383" i="3"/>
  <c r="R383" i="3"/>
  <c r="Q383" i="3"/>
  <c r="P383" i="3"/>
  <c r="O383" i="3"/>
  <c r="N383" i="3"/>
  <c r="M383" i="3"/>
  <c r="L383" i="3"/>
  <c r="Y382" i="3"/>
  <c r="X382" i="3"/>
  <c r="W382" i="3"/>
  <c r="V382" i="3"/>
  <c r="U382" i="3"/>
  <c r="T382" i="3"/>
  <c r="S382" i="3"/>
  <c r="R382" i="3"/>
  <c r="Q382" i="3"/>
  <c r="P382" i="3"/>
  <c r="O382" i="3"/>
  <c r="N382" i="3"/>
  <c r="M382" i="3"/>
  <c r="L382" i="3"/>
  <c r="Y381" i="3"/>
  <c r="X381" i="3"/>
  <c r="W381" i="3"/>
  <c r="V381" i="3"/>
  <c r="U381" i="3"/>
  <c r="T381" i="3"/>
  <c r="S381" i="3"/>
  <c r="R381" i="3"/>
  <c r="Q381" i="3"/>
  <c r="P381" i="3"/>
  <c r="O381" i="3"/>
  <c r="N381" i="3"/>
  <c r="M381" i="3"/>
  <c r="L381" i="3"/>
  <c r="Y380" i="3"/>
  <c r="X380" i="3"/>
  <c r="W380" i="3"/>
  <c r="V380" i="3"/>
  <c r="U380" i="3"/>
  <c r="T380" i="3"/>
  <c r="S380" i="3"/>
  <c r="R380" i="3"/>
  <c r="Q380" i="3"/>
  <c r="P380" i="3"/>
  <c r="O380" i="3"/>
  <c r="N380" i="3"/>
  <c r="M380" i="3"/>
  <c r="L380" i="3"/>
  <c r="Y379" i="3"/>
  <c r="X379" i="3"/>
  <c r="W379" i="3"/>
  <c r="V379" i="3"/>
  <c r="U379" i="3"/>
  <c r="T379" i="3"/>
  <c r="S379" i="3"/>
  <c r="R379" i="3"/>
  <c r="Q379" i="3"/>
  <c r="P379" i="3"/>
  <c r="O379" i="3"/>
  <c r="N379" i="3"/>
  <c r="M379" i="3"/>
  <c r="L379" i="3"/>
  <c r="Y378" i="3"/>
  <c r="X378" i="3"/>
  <c r="W378" i="3"/>
  <c r="V378" i="3"/>
  <c r="U378" i="3"/>
  <c r="T378" i="3"/>
  <c r="S378" i="3"/>
  <c r="R378" i="3"/>
  <c r="Q378" i="3"/>
  <c r="P378" i="3"/>
  <c r="O378" i="3"/>
  <c r="N378" i="3"/>
  <c r="M378" i="3"/>
  <c r="L378" i="3"/>
  <c r="Y377" i="3"/>
  <c r="X377" i="3"/>
  <c r="W377" i="3"/>
  <c r="V377" i="3"/>
  <c r="U377" i="3"/>
  <c r="T377" i="3"/>
  <c r="S377" i="3"/>
  <c r="R377" i="3"/>
  <c r="Q377" i="3"/>
  <c r="P377" i="3"/>
  <c r="O377" i="3"/>
  <c r="N377" i="3"/>
  <c r="M377" i="3"/>
  <c r="L377" i="3"/>
  <c r="Y376" i="3"/>
  <c r="X376" i="3"/>
  <c r="W376" i="3"/>
  <c r="V376" i="3"/>
  <c r="U376" i="3"/>
  <c r="T376" i="3"/>
  <c r="S376" i="3"/>
  <c r="R376" i="3"/>
  <c r="Q376" i="3"/>
  <c r="P376" i="3"/>
  <c r="O376" i="3"/>
  <c r="N376" i="3"/>
  <c r="M376" i="3"/>
  <c r="L376" i="3"/>
  <c r="Y375" i="3"/>
  <c r="X375" i="3"/>
  <c r="W375" i="3"/>
  <c r="V375" i="3"/>
  <c r="U375" i="3"/>
  <c r="T375" i="3"/>
  <c r="S375" i="3"/>
  <c r="R375" i="3"/>
  <c r="Q375" i="3"/>
  <c r="P375" i="3"/>
  <c r="O375" i="3"/>
  <c r="N375" i="3"/>
  <c r="M375" i="3"/>
  <c r="L375" i="3"/>
  <c r="Y374" i="3"/>
  <c r="X374" i="3"/>
  <c r="W374" i="3"/>
  <c r="V374" i="3"/>
  <c r="U374" i="3"/>
  <c r="T374" i="3"/>
  <c r="S374" i="3"/>
  <c r="R374" i="3"/>
  <c r="Q374" i="3"/>
  <c r="P374" i="3"/>
  <c r="O374" i="3"/>
  <c r="N374" i="3"/>
  <c r="M374" i="3"/>
  <c r="L374" i="3"/>
  <c r="Y373" i="3"/>
  <c r="X373" i="3"/>
  <c r="W373" i="3"/>
  <c r="V373" i="3"/>
  <c r="U373" i="3"/>
  <c r="T373" i="3"/>
  <c r="S373" i="3"/>
  <c r="R373" i="3"/>
  <c r="Q373" i="3"/>
  <c r="P373" i="3"/>
  <c r="O373" i="3"/>
  <c r="N373" i="3"/>
  <c r="M373" i="3"/>
  <c r="L373" i="3"/>
  <c r="Y372" i="3"/>
  <c r="X372" i="3"/>
  <c r="W372" i="3"/>
  <c r="V372" i="3"/>
  <c r="U372" i="3"/>
  <c r="T372" i="3"/>
  <c r="S372" i="3"/>
  <c r="R372" i="3"/>
  <c r="Q372" i="3"/>
  <c r="P372" i="3"/>
  <c r="O372" i="3"/>
  <c r="N372" i="3"/>
  <c r="M372" i="3"/>
  <c r="L372" i="3"/>
  <c r="Y371" i="3"/>
  <c r="X371" i="3"/>
  <c r="W371" i="3"/>
  <c r="V371" i="3"/>
  <c r="U371" i="3"/>
  <c r="T371" i="3"/>
  <c r="S371" i="3"/>
  <c r="R371" i="3"/>
  <c r="Q371" i="3"/>
  <c r="P371" i="3"/>
  <c r="O371" i="3"/>
  <c r="N371" i="3"/>
  <c r="M371" i="3"/>
  <c r="L371" i="3"/>
  <c r="Y370" i="3"/>
  <c r="X370" i="3"/>
  <c r="W370" i="3"/>
  <c r="V370" i="3"/>
  <c r="U370" i="3"/>
  <c r="T370" i="3"/>
  <c r="S370" i="3"/>
  <c r="R370" i="3"/>
  <c r="Q370" i="3"/>
  <c r="P370" i="3"/>
  <c r="O370" i="3"/>
  <c r="N370" i="3"/>
  <c r="M370" i="3"/>
  <c r="L370" i="3"/>
  <c r="Y369" i="3"/>
  <c r="X369" i="3"/>
  <c r="W369" i="3"/>
  <c r="V369" i="3"/>
  <c r="U369" i="3"/>
  <c r="T369" i="3"/>
  <c r="S369" i="3"/>
  <c r="R369" i="3"/>
  <c r="Q369" i="3"/>
  <c r="P369" i="3"/>
  <c r="O369" i="3"/>
  <c r="N369" i="3"/>
  <c r="M369" i="3"/>
  <c r="L369" i="3"/>
  <c r="Y368" i="3"/>
  <c r="X368" i="3"/>
  <c r="W368" i="3"/>
  <c r="V368" i="3"/>
  <c r="U368" i="3"/>
  <c r="T368" i="3"/>
  <c r="S368" i="3"/>
  <c r="R368" i="3"/>
  <c r="Q368" i="3"/>
  <c r="P368" i="3"/>
  <c r="O368" i="3"/>
  <c r="N368" i="3"/>
  <c r="M368" i="3"/>
  <c r="L368" i="3"/>
  <c r="Y367" i="3"/>
  <c r="X367" i="3"/>
  <c r="W367" i="3"/>
  <c r="V367" i="3"/>
  <c r="U367" i="3"/>
  <c r="T367" i="3"/>
  <c r="S367" i="3"/>
  <c r="R367" i="3"/>
  <c r="Q367" i="3"/>
  <c r="P367" i="3"/>
  <c r="O367" i="3"/>
  <c r="N367" i="3"/>
  <c r="M367" i="3"/>
  <c r="L367" i="3"/>
  <c r="Y366" i="3"/>
  <c r="X366" i="3"/>
  <c r="W366" i="3"/>
  <c r="V366" i="3"/>
  <c r="U366" i="3"/>
  <c r="T366" i="3"/>
  <c r="S366" i="3"/>
  <c r="R366" i="3"/>
  <c r="Q366" i="3"/>
  <c r="P366" i="3"/>
  <c r="O366" i="3"/>
  <c r="N366" i="3"/>
  <c r="M366" i="3"/>
  <c r="L366" i="3"/>
  <c r="Y365" i="3"/>
  <c r="X365" i="3"/>
  <c r="W365" i="3"/>
  <c r="V365" i="3"/>
  <c r="U365" i="3"/>
  <c r="T365" i="3"/>
  <c r="S365" i="3"/>
  <c r="R365" i="3"/>
  <c r="Q365" i="3"/>
  <c r="P365" i="3"/>
  <c r="O365" i="3"/>
  <c r="N365" i="3"/>
  <c r="M365" i="3"/>
  <c r="L365" i="3"/>
  <c r="Y364" i="3"/>
  <c r="X364" i="3"/>
  <c r="W364" i="3"/>
  <c r="V364" i="3"/>
  <c r="U364" i="3"/>
  <c r="T364" i="3"/>
  <c r="S364" i="3"/>
  <c r="R364" i="3"/>
  <c r="Q364" i="3"/>
  <c r="P364" i="3"/>
  <c r="O364" i="3"/>
  <c r="N364" i="3"/>
  <c r="M364" i="3"/>
  <c r="L364" i="3"/>
  <c r="Y363" i="3"/>
  <c r="X363" i="3"/>
  <c r="W363" i="3"/>
  <c r="V363" i="3"/>
  <c r="U363" i="3"/>
  <c r="T363" i="3"/>
  <c r="S363" i="3"/>
  <c r="R363" i="3"/>
  <c r="Q363" i="3"/>
  <c r="P363" i="3"/>
  <c r="O363" i="3"/>
  <c r="N363" i="3"/>
  <c r="M363" i="3"/>
  <c r="L363" i="3"/>
  <c r="Y362" i="3"/>
  <c r="X362" i="3"/>
  <c r="W362" i="3"/>
  <c r="V362" i="3"/>
  <c r="U362" i="3"/>
  <c r="T362" i="3"/>
  <c r="S362" i="3"/>
  <c r="R362" i="3"/>
  <c r="Q362" i="3"/>
  <c r="P362" i="3"/>
  <c r="O362" i="3"/>
  <c r="N362" i="3"/>
  <c r="M362" i="3"/>
  <c r="L362" i="3"/>
  <c r="Y361" i="3"/>
  <c r="X361" i="3"/>
  <c r="W361" i="3"/>
  <c r="V361" i="3"/>
  <c r="U361" i="3"/>
  <c r="T361" i="3"/>
  <c r="S361" i="3"/>
  <c r="R361" i="3"/>
  <c r="Q361" i="3"/>
  <c r="P361" i="3"/>
  <c r="O361" i="3"/>
  <c r="N361" i="3"/>
  <c r="M361" i="3"/>
  <c r="L361" i="3"/>
  <c r="Y360" i="3"/>
  <c r="X360" i="3"/>
  <c r="W360" i="3"/>
  <c r="V360" i="3"/>
  <c r="U360" i="3"/>
  <c r="T360" i="3"/>
  <c r="S360" i="3"/>
  <c r="R360" i="3"/>
  <c r="Q360" i="3"/>
  <c r="P360" i="3"/>
  <c r="O360" i="3"/>
  <c r="N360" i="3"/>
  <c r="M360" i="3"/>
  <c r="L360" i="3"/>
  <c r="Y359" i="3"/>
  <c r="X359" i="3"/>
  <c r="W359" i="3"/>
  <c r="V359" i="3"/>
  <c r="U359" i="3"/>
  <c r="T359" i="3"/>
  <c r="S359" i="3"/>
  <c r="R359" i="3"/>
  <c r="Q359" i="3"/>
  <c r="P359" i="3"/>
  <c r="O359" i="3"/>
  <c r="N359" i="3"/>
  <c r="M359" i="3"/>
  <c r="L359" i="3"/>
  <c r="Y358" i="3"/>
  <c r="X358" i="3"/>
  <c r="W358" i="3"/>
  <c r="V358" i="3"/>
  <c r="U358" i="3"/>
  <c r="T358" i="3"/>
  <c r="S358" i="3"/>
  <c r="R358" i="3"/>
  <c r="Q358" i="3"/>
  <c r="P358" i="3"/>
  <c r="O358" i="3"/>
  <c r="N358" i="3"/>
  <c r="M358" i="3"/>
  <c r="L358" i="3"/>
  <c r="Y357" i="3"/>
  <c r="X357" i="3"/>
  <c r="W357" i="3"/>
  <c r="V357" i="3"/>
  <c r="U357" i="3"/>
  <c r="T357" i="3"/>
  <c r="S357" i="3"/>
  <c r="R357" i="3"/>
  <c r="Q357" i="3"/>
  <c r="P357" i="3"/>
  <c r="O357" i="3"/>
  <c r="N357" i="3"/>
  <c r="M357" i="3"/>
  <c r="L357" i="3"/>
  <c r="Y356" i="3"/>
  <c r="X356" i="3"/>
  <c r="W356" i="3"/>
  <c r="V356" i="3"/>
  <c r="U356" i="3"/>
  <c r="T356" i="3"/>
  <c r="S356" i="3"/>
  <c r="R356" i="3"/>
  <c r="Q356" i="3"/>
  <c r="P356" i="3"/>
  <c r="O356" i="3"/>
  <c r="N356" i="3"/>
  <c r="M356" i="3"/>
  <c r="L356" i="3"/>
  <c r="Y355" i="3"/>
  <c r="X355" i="3"/>
  <c r="W355" i="3"/>
  <c r="V355" i="3"/>
  <c r="U355" i="3"/>
  <c r="T355" i="3"/>
  <c r="S355" i="3"/>
  <c r="R355" i="3"/>
  <c r="Q355" i="3"/>
  <c r="P355" i="3"/>
  <c r="O355" i="3"/>
  <c r="N355" i="3"/>
  <c r="M355" i="3"/>
  <c r="L355" i="3"/>
  <c r="Y354" i="3"/>
  <c r="X354" i="3"/>
  <c r="W354" i="3"/>
  <c r="V354" i="3"/>
  <c r="U354" i="3"/>
  <c r="T354" i="3"/>
  <c r="S354" i="3"/>
  <c r="R354" i="3"/>
  <c r="Q354" i="3"/>
  <c r="P354" i="3"/>
  <c r="O354" i="3"/>
  <c r="N354" i="3"/>
  <c r="M354" i="3"/>
  <c r="L354" i="3"/>
  <c r="Y353" i="3"/>
  <c r="X353" i="3"/>
  <c r="W353" i="3"/>
  <c r="V353" i="3"/>
  <c r="U353" i="3"/>
  <c r="T353" i="3"/>
  <c r="S353" i="3"/>
  <c r="R353" i="3"/>
  <c r="Q353" i="3"/>
  <c r="P353" i="3"/>
  <c r="O353" i="3"/>
  <c r="N353" i="3"/>
  <c r="M353" i="3"/>
  <c r="L353" i="3"/>
  <c r="Y352" i="3"/>
  <c r="X352" i="3"/>
  <c r="W352" i="3"/>
  <c r="V352" i="3"/>
  <c r="U352" i="3"/>
  <c r="T352" i="3"/>
  <c r="S352" i="3"/>
  <c r="R352" i="3"/>
  <c r="Q352" i="3"/>
  <c r="P352" i="3"/>
  <c r="O352" i="3"/>
  <c r="N352" i="3"/>
  <c r="M352" i="3"/>
  <c r="L352" i="3"/>
  <c r="Y351" i="3"/>
  <c r="X351" i="3"/>
  <c r="W351" i="3"/>
  <c r="V351" i="3"/>
  <c r="U351" i="3"/>
  <c r="T351" i="3"/>
  <c r="S351" i="3"/>
  <c r="R351" i="3"/>
  <c r="Q351" i="3"/>
  <c r="P351" i="3"/>
  <c r="O351" i="3"/>
  <c r="N351" i="3"/>
  <c r="M351" i="3"/>
  <c r="L351" i="3"/>
  <c r="Y350" i="3"/>
  <c r="X350" i="3"/>
  <c r="W350" i="3"/>
  <c r="V350" i="3"/>
  <c r="U350" i="3"/>
  <c r="T350" i="3"/>
  <c r="S350" i="3"/>
  <c r="R350" i="3"/>
  <c r="Q350" i="3"/>
  <c r="P350" i="3"/>
  <c r="O350" i="3"/>
  <c r="N350" i="3"/>
  <c r="M350" i="3"/>
  <c r="L350" i="3"/>
  <c r="Y349" i="3"/>
  <c r="X349" i="3"/>
  <c r="W349" i="3"/>
  <c r="V349" i="3"/>
  <c r="U349" i="3"/>
  <c r="T349" i="3"/>
  <c r="S349" i="3"/>
  <c r="R349" i="3"/>
  <c r="Q349" i="3"/>
  <c r="P349" i="3"/>
  <c r="O349" i="3"/>
  <c r="N349" i="3"/>
  <c r="M349" i="3"/>
  <c r="L349" i="3"/>
  <c r="Y348" i="3"/>
  <c r="X348" i="3"/>
  <c r="W348" i="3"/>
  <c r="V348" i="3"/>
  <c r="U348" i="3"/>
  <c r="T348" i="3"/>
  <c r="S348" i="3"/>
  <c r="R348" i="3"/>
  <c r="Q348" i="3"/>
  <c r="P348" i="3"/>
  <c r="O348" i="3"/>
  <c r="N348" i="3"/>
  <c r="M348" i="3"/>
  <c r="L348" i="3"/>
  <c r="Y347" i="3"/>
  <c r="X347" i="3"/>
  <c r="W347" i="3"/>
  <c r="V347" i="3"/>
  <c r="U347" i="3"/>
  <c r="T347" i="3"/>
  <c r="S347" i="3"/>
  <c r="R347" i="3"/>
  <c r="Q347" i="3"/>
  <c r="P347" i="3"/>
  <c r="O347" i="3"/>
  <c r="N347" i="3"/>
  <c r="M347" i="3"/>
  <c r="L347" i="3"/>
  <c r="Y346" i="3"/>
  <c r="X346" i="3"/>
  <c r="W346" i="3"/>
  <c r="V346" i="3"/>
  <c r="U346" i="3"/>
  <c r="T346" i="3"/>
  <c r="S346" i="3"/>
  <c r="R346" i="3"/>
  <c r="Q346" i="3"/>
  <c r="P346" i="3"/>
  <c r="O346" i="3"/>
  <c r="N346" i="3"/>
  <c r="M346" i="3"/>
  <c r="L346" i="3"/>
  <c r="Y345" i="3"/>
  <c r="X345" i="3"/>
  <c r="W345" i="3"/>
  <c r="V345" i="3"/>
  <c r="U345" i="3"/>
  <c r="T345" i="3"/>
  <c r="S345" i="3"/>
  <c r="R345" i="3"/>
  <c r="Q345" i="3"/>
  <c r="P345" i="3"/>
  <c r="O345" i="3"/>
  <c r="N345" i="3"/>
  <c r="M345" i="3"/>
  <c r="L345" i="3"/>
  <c r="Y344" i="3"/>
  <c r="X344" i="3"/>
  <c r="W344" i="3"/>
  <c r="V344" i="3"/>
  <c r="U344" i="3"/>
  <c r="T344" i="3"/>
  <c r="S344" i="3"/>
  <c r="R344" i="3"/>
  <c r="Q344" i="3"/>
  <c r="P344" i="3"/>
  <c r="O344" i="3"/>
  <c r="N344" i="3"/>
  <c r="M344" i="3"/>
  <c r="L344" i="3"/>
  <c r="Y343" i="3"/>
  <c r="X343" i="3"/>
  <c r="W343" i="3"/>
  <c r="V343" i="3"/>
  <c r="U343" i="3"/>
  <c r="T343" i="3"/>
  <c r="S343" i="3"/>
  <c r="R343" i="3"/>
  <c r="Q343" i="3"/>
  <c r="P343" i="3"/>
  <c r="O343" i="3"/>
  <c r="N343" i="3"/>
  <c r="M343" i="3"/>
  <c r="L343" i="3"/>
  <c r="Y342" i="3"/>
  <c r="X342" i="3"/>
  <c r="W342" i="3"/>
  <c r="V342" i="3"/>
  <c r="U342" i="3"/>
  <c r="T342" i="3"/>
  <c r="S342" i="3"/>
  <c r="R342" i="3"/>
  <c r="Q342" i="3"/>
  <c r="P342" i="3"/>
  <c r="O342" i="3"/>
  <c r="N342" i="3"/>
  <c r="M342" i="3"/>
  <c r="L342" i="3"/>
  <c r="Y341" i="3"/>
  <c r="X341" i="3"/>
  <c r="W341" i="3"/>
  <c r="V341" i="3"/>
  <c r="U341" i="3"/>
  <c r="T341" i="3"/>
  <c r="S341" i="3"/>
  <c r="R341" i="3"/>
  <c r="Q341" i="3"/>
  <c r="P341" i="3"/>
  <c r="O341" i="3"/>
  <c r="N341" i="3"/>
  <c r="M341" i="3"/>
  <c r="L341" i="3"/>
  <c r="Y340" i="3"/>
  <c r="X340" i="3"/>
  <c r="W340" i="3"/>
  <c r="V340" i="3"/>
  <c r="U340" i="3"/>
  <c r="T340" i="3"/>
  <c r="S340" i="3"/>
  <c r="R340" i="3"/>
  <c r="Q340" i="3"/>
  <c r="P340" i="3"/>
  <c r="O340" i="3"/>
  <c r="N340" i="3"/>
  <c r="M340" i="3"/>
  <c r="L340" i="3"/>
  <c r="Y339" i="3"/>
  <c r="X339" i="3"/>
  <c r="W339" i="3"/>
  <c r="V339" i="3"/>
  <c r="U339" i="3"/>
  <c r="T339" i="3"/>
  <c r="S339" i="3"/>
  <c r="R339" i="3"/>
  <c r="Q339" i="3"/>
  <c r="P339" i="3"/>
  <c r="O339" i="3"/>
  <c r="N339" i="3"/>
  <c r="M339" i="3"/>
  <c r="L339" i="3"/>
  <c r="Y338" i="3"/>
  <c r="X338" i="3"/>
  <c r="W338" i="3"/>
  <c r="V338" i="3"/>
  <c r="U338" i="3"/>
  <c r="T338" i="3"/>
  <c r="S338" i="3"/>
  <c r="R338" i="3"/>
  <c r="Q338" i="3"/>
  <c r="P338" i="3"/>
  <c r="O338" i="3"/>
  <c r="N338" i="3"/>
  <c r="M338" i="3"/>
  <c r="L338" i="3"/>
  <c r="Y337" i="3"/>
  <c r="X337" i="3"/>
  <c r="W337" i="3"/>
  <c r="V337" i="3"/>
  <c r="U337" i="3"/>
  <c r="T337" i="3"/>
  <c r="S337" i="3"/>
  <c r="R337" i="3"/>
  <c r="Q337" i="3"/>
  <c r="P337" i="3"/>
  <c r="O337" i="3"/>
  <c r="N337" i="3"/>
  <c r="M337" i="3"/>
  <c r="L337" i="3"/>
  <c r="Y336" i="3"/>
  <c r="X336" i="3"/>
  <c r="W336" i="3"/>
  <c r="V336" i="3"/>
  <c r="U336" i="3"/>
  <c r="T336" i="3"/>
  <c r="S336" i="3"/>
  <c r="R336" i="3"/>
  <c r="Q336" i="3"/>
  <c r="P336" i="3"/>
  <c r="O336" i="3"/>
  <c r="N336" i="3"/>
  <c r="M336" i="3"/>
  <c r="L336" i="3"/>
  <c r="Y335" i="3"/>
  <c r="X335" i="3"/>
  <c r="W335" i="3"/>
  <c r="V335" i="3"/>
  <c r="U335" i="3"/>
  <c r="T335" i="3"/>
  <c r="S335" i="3"/>
  <c r="R335" i="3"/>
  <c r="Q335" i="3"/>
  <c r="P335" i="3"/>
  <c r="O335" i="3"/>
  <c r="N335" i="3"/>
  <c r="M335" i="3"/>
  <c r="L335" i="3"/>
  <c r="Y334" i="3"/>
  <c r="X334" i="3"/>
  <c r="W334" i="3"/>
  <c r="V334" i="3"/>
  <c r="U334" i="3"/>
  <c r="T334" i="3"/>
  <c r="S334" i="3"/>
  <c r="R334" i="3"/>
  <c r="Q334" i="3"/>
  <c r="P334" i="3"/>
  <c r="O334" i="3"/>
  <c r="N334" i="3"/>
  <c r="M334" i="3"/>
  <c r="L334" i="3"/>
  <c r="Y333" i="3"/>
  <c r="X333" i="3"/>
  <c r="W333" i="3"/>
  <c r="V333" i="3"/>
  <c r="U333" i="3"/>
  <c r="T333" i="3"/>
  <c r="S333" i="3"/>
  <c r="R333" i="3"/>
  <c r="Q333" i="3"/>
  <c r="P333" i="3"/>
  <c r="O333" i="3"/>
  <c r="N333" i="3"/>
  <c r="M333" i="3"/>
  <c r="L333" i="3"/>
  <c r="Y332" i="3"/>
  <c r="X332" i="3"/>
  <c r="W332" i="3"/>
  <c r="V332" i="3"/>
  <c r="U332" i="3"/>
  <c r="T332" i="3"/>
  <c r="S332" i="3"/>
  <c r="R332" i="3"/>
  <c r="Q332" i="3"/>
  <c r="P332" i="3"/>
  <c r="O332" i="3"/>
  <c r="N332" i="3"/>
  <c r="M332" i="3"/>
  <c r="L332" i="3"/>
  <c r="Y331" i="3"/>
  <c r="X331" i="3"/>
  <c r="W331" i="3"/>
  <c r="V331" i="3"/>
  <c r="U331" i="3"/>
  <c r="T331" i="3"/>
  <c r="S331" i="3"/>
  <c r="R331" i="3"/>
  <c r="Q331" i="3"/>
  <c r="P331" i="3"/>
  <c r="O331" i="3"/>
  <c r="N331" i="3"/>
  <c r="M331" i="3"/>
  <c r="L331" i="3"/>
  <c r="Y330" i="3"/>
  <c r="X330" i="3"/>
  <c r="W330" i="3"/>
  <c r="V330" i="3"/>
  <c r="U330" i="3"/>
  <c r="T330" i="3"/>
  <c r="S330" i="3"/>
  <c r="R330" i="3"/>
  <c r="Q330" i="3"/>
  <c r="P330" i="3"/>
  <c r="O330" i="3"/>
  <c r="N330" i="3"/>
  <c r="M330" i="3"/>
  <c r="L330" i="3"/>
  <c r="Y329" i="3"/>
  <c r="X329" i="3"/>
  <c r="W329" i="3"/>
  <c r="V329" i="3"/>
  <c r="U329" i="3"/>
  <c r="T329" i="3"/>
  <c r="S329" i="3"/>
  <c r="R329" i="3"/>
  <c r="Q329" i="3"/>
  <c r="P329" i="3"/>
  <c r="O329" i="3"/>
  <c r="N329" i="3"/>
  <c r="M329" i="3"/>
  <c r="L329" i="3"/>
  <c r="Y328" i="3"/>
  <c r="X328" i="3"/>
  <c r="W328" i="3"/>
  <c r="V328" i="3"/>
  <c r="U328" i="3"/>
  <c r="T328" i="3"/>
  <c r="S328" i="3"/>
  <c r="R328" i="3"/>
  <c r="Q328" i="3"/>
  <c r="P328" i="3"/>
  <c r="O328" i="3"/>
  <c r="N328" i="3"/>
  <c r="M328" i="3"/>
  <c r="L328" i="3"/>
  <c r="Y327" i="3"/>
  <c r="X327" i="3"/>
  <c r="W327" i="3"/>
  <c r="V327" i="3"/>
  <c r="U327" i="3"/>
  <c r="T327" i="3"/>
  <c r="S327" i="3"/>
  <c r="R327" i="3"/>
  <c r="Q327" i="3"/>
  <c r="P327" i="3"/>
  <c r="O327" i="3"/>
  <c r="N327" i="3"/>
  <c r="M327" i="3"/>
  <c r="L327" i="3"/>
  <c r="Y326" i="3"/>
  <c r="X326" i="3"/>
  <c r="W326" i="3"/>
  <c r="V326" i="3"/>
  <c r="U326" i="3"/>
  <c r="T326" i="3"/>
  <c r="S326" i="3"/>
  <c r="R326" i="3"/>
  <c r="Q326" i="3"/>
  <c r="P326" i="3"/>
  <c r="O326" i="3"/>
  <c r="N326" i="3"/>
  <c r="M326" i="3"/>
  <c r="L326" i="3"/>
  <c r="Y325" i="3"/>
  <c r="X325" i="3"/>
  <c r="W325" i="3"/>
  <c r="V325" i="3"/>
  <c r="U325" i="3"/>
  <c r="T325" i="3"/>
  <c r="S325" i="3"/>
  <c r="R325" i="3"/>
  <c r="Q325" i="3"/>
  <c r="P325" i="3"/>
  <c r="O325" i="3"/>
  <c r="N325" i="3"/>
  <c r="M325" i="3"/>
  <c r="L325" i="3"/>
  <c r="Y324" i="3"/>
  <c r="X324" i="3"/>
  <c r="W324" i="3"/>
  <c r="V324" i="3"/>
  <c r="U324" i="3"/>
  <c r="T324" i="3"/>
  <c r="S324" i="3"/>
  <c r="R324" i="3"/>
  <c r="Q324" i="3"/>
  <c r="P324" i="3"/>
  <c r="O324" i="3"/>
  <c r="N324" i="3"/>
  <c r="M324" i="3"/>
  <c r="L324" i="3"/>
  <c r="Y323" i="3"/>
  <c r="X323" i="3"/>
  <c r="W323" i="3"/>
  <c r="V323" i="3"/>
  <c r="U323" i="3"/>
  <c r="T323" i="3"/>
  <c r="S323" i="3"/>
  <c r="R323" i="3"/>
  <c r="Q323" i="3"/>
  <c r="P323" i="3"/>
  <c r="O323" i="3"/>
  <c r="N323" i="3"/>
  <c r="M323" i="3"/>
  <c r="L323" i="3"/>
  <c r="Y322" i="3"/>
  <c r="X322" i="3"/>
  <c r="W322" i="3"/>
  <c r="V322" i="3"/>
  <c r="U322" i="3"/>
  <c r="T322" i="3"/>
  <c r="S322" i="3"/>
  <c r="R322" i="3"/>
  <c r="Q322" i="3"/>
  <c r="P322" i="3"/>
  <c r="O322" i="3"/>
  <c r="N322" i="3"/>
  <c r="M322" i="3"/>
  <c r="L322" i="3"/>
  <c r="Y321" i="3"/>
  <c r="X321" i="3"/>
  <c r="W321" i="3"/>
  <c r="V321" i="3"/>
  <c r="U321" i="3"/>
  <c r="T321" i="3"/>
  <c r="S321" i="3"/>
  <c r="R321" i="3"/>
  <c r="Q321" i="3"/>
  <c r="P321" i="3"/>
  <c r="O321" i="3"/>
  <c r="N321" i="3"/>
  <c r="M321" i="3"/>
  <c r="L321" i="3"/>
  <c r="Y320" i="3"/>
  <c r="X320" i="3"/>
  <c r="W320" i="3"/>
  <c r="V320" i="3"/>
  <c r="U320" i="3"/>
  <c r="T320" i="3"/>
  <c r="S320" i="3"/>
  <c r="R320" i="3"/>
  <c r="Q320" i="3"/>
  <c r="P320" i="3"/>
  <c r="O320" i="3"/>
  <c r="N320" i="3"/>
  <c r="M320" i="3"/>
  <c r="L320" i="3"/>
  <c r="Y319" i="3"/>
  <c r="X319" i="3"/>
  <c r="W319" i="3"/>
  <c r="V319" i="3"/>
  <c r="U319" i="3"/>
  <c r="T319" i="3"/>
  <c r="S319" i="3"/>
  <c r="R319" i="3"/>
  <c r="Q319" i="3"/>
  <c r="P319" i="3"/>
  <c r="O319" i="3"/>
  <c r="N319" i="3"/>
  <c r="M319" i="3"/>
  <c r="L319" i="3"/>
  <c r="Y318" i="3"/>
  <c r="X318" i="3"/>
  <c r="W318" i="3"/>
  <c r="V318" i="3"/>
  <c r="U318" i="3"/>
  <c r="T318" i="3"/>
  <c r="S318" i="3"/>
  <c r="R318" i="3"/>
  <c r="Q318" i="3"/>
  <c r="P318" i="3"/>
  <c r="O318" i="3"/>
  <c r="N318" i="3"/>
  <c r="M318" i="3"/>
  <c r="L318" i="3"/>
  <c r="Y317" i="3"/>
  <c r="X317" i="3"/>
  <c r="W317" i="3"/>
  <c r="V317" i="3"/>
  <c r="U317" i="3"/>
  <c r="T317" i="3"/>
  <c r="S317" i="3"/>
  <c r="R317" i="3"/>
  <c r="Q317" i="3"/>
  <c r="P317" i="3"/>
  <c r="O317" i="3"/>
  <c r="N317" i="3"/>
  <c r="M317" i="3"/>
  <c r="L317" i="3"/>
  <c r="Y316" i="3"/>
  <c r="X316" i="3"/>
  <c r="W316" i="3"/>
  <c r="V316" i="3"/>
  <c r="U316" i="3"/>
  <c r="T316" i="3"/>
  <c r="S316" i="3"/>
  <c r="R316" i="3"/>
  <c r="Q316" i="3"/>
  <c r="P316" i="3"/>
  <c r="O316" i="3"/>
  <c r="N316" i="3"/>
  <c r="M316" i="3"/>
  <c r="L316" i="3"/>
  <c r="Y315" i="3"/>
  <c r="X315" i="3"/>
  <c r="W315" i="3"/>
  <c r="V315" i="3"/>
  <c r="U315" i="3"/>
  <c r="T315" i="3"/>
  <c r="S315" i="3"/>
  <c r="R315" i="3"/>
  <c r="Q315" i="3"/>
  <c r="P315" i="3"/>
  <c r="O315" i="3"/>
  <c r="N315" i="3"/>
  <c r="M315" i="3"/>
  <c r="L315" i="3"/>
  <c r="Y314" i="3"/>
  <c r="X314" i="3"/>
  <c r="W314" i="3"/>
  <c r="V314" i="3"/>
  <c r="U314" i="3"/>
  <c r="T314" i="3"/>
  <c r="S314" i="3"/>
  <c r="R314" i="3"/>
  <c r="Q314" i="3"/>
  <c r="P314" i="3"/>
  <c r="O314" i="3"/>
  <c r="N314" i="3"/>
  <c r="M314" i="3"/>
  <c r="L314" i="3"/>
  <c r="Y313" i="3"/>
  <c r="X313" i="3"/>
  <c r="W313" i="3"/>
  <c r="V313" i="3"/>
  <c r="U313" i="3"/>
  <c r="T313" i="3"/>
  <c r="S313" i="3"/>
  <c r="R313" i="3"/>
  <c r="Q313" i="3"/>
  <c r="P313" i="3"/>
  <c r="O313" i="3"/>
  <c r="N313" i="3"/>
  <c r="M313" i="3"/>
  <c r="L313" i="3"/>
  <c r="Y312" i="3"/>
  <c r="X312" i="3"/>
  <c r="W312" i="3"/>
  <c r="V312" i="3"/>
  <c r="U312" i="3"/>
  <c r="T312" i="3"/>
  <c r="S312" i="3"/>
  <c r="R312" i="3"/>
  <c r="Q312" i="3"/>
  <c r="P312" i="3"/>
  <c r="O312" i="3"/>
  <c r="N312" i="3"/>
  <c r="M312" i="3"/>
  <c r="L312" i="3"/>
  <c r="Y311" i="3"/>
  <c r="X311" i="3"/>
  <c r="W311" i="3"/>
  <c r="V311" i="3"/>
  <c r="U311" i="3"/>
  <c r="T311" i="3"/>
  <c r="S311" i="3"/>
  <c r="R311" i="3"/>
  <c r="Q311" i="3"/>
  <c r="P311" i="3"/>
  <c r="O311" i="3"/>
  <c r="N311" i="3"/>
  <c r="M311" i="3"/>
  <c r="L311" i="3"/>
  <c r="Y310" i="3"/>
  <c r="X310" i="3"/>
  <c r="W310" i="3"/>
  <c r="V310" i="3"/>
  <c r="U310" i="3"/>
  <c r="T310" i="3"/>
  <c r="S310" i="3"/>
  <c r="R310" i="3"/>
  <c r="Q310" i="3"/>
  <c r="P310" i="3"/>
  <c r="O310" i="3"/>
  <c r="N310" i="3"/>
  <c r="M310" i="3"/>
  <c r="L310" i="3"/>
  <c r="Y309" i="3"/>
  <c r="X309" i="3"/>
  <c r="W309" i="3"/>
  <c r="V309" i="3"/>
  <c r="U309" i="3"/>
  <c r="T309" i="3"/>
  <c r="S309" i="3"/>
  <c r="R309" i="3"/>
  <c r="Q309" i="3"/>
  <c r="P309" i="3"/>
  <c r="O309" i="3"/>
  <c r="N309" i="3"/>
  <c r="M309" i="3"/>
  <c r="L309" i="3"/>
  <c r="Y308" i="3"/>
  <c r="X308" i="3"/>
  <c r="W308" i="3"/>
  <c r="V308" i="3"/>
  <c r="U308" i="3"/>
  <c r="T308" i="3"/>
  <c r="S308" i="3"/>
  <c r="R308" i="3"/>
  <c r="Q308" i="3"/>
  <c r="P308" i="3"/>
  <c r="O308" i="3"/>
  <c r="N308" i="3"/>
  <c r="M308" i="3"/>
  <c r="L308" i="3"/>
  <c r="Y307" i="3"/>
  <c r="X307" i="3"/>
  <c r="W307" i="3"/>
  <c r="V307" i="3"/>
  <c r="U307" i="3"/>
  <c r="T307" i="3"/>
  <c r="S307" i="3"/>
  <c r="R307" i="3"/>
  <c r="Q307" i="3"/>
  <c r="P307" i="3"/>
  <c r="O307" i="3"/>
  <c r="N307" i="3"/>
  <c r="M307" i="3"/>
  <c r="L307" i="3"/>
  <c r="Y306" i="3"/>
  <c r="X306" i="3"/>
  <c r="W306" i="3"/>
  <c r="V306" i="3"/>
  <c r="U306" i="3"/>
  <c r="T306" i="3"/>
  <c r="S306" i="3"/>
  <c r="R306" i="3"/>
  <c r="Q306" i="3"/>
  <c r="P306" i="3"/>
  <c r="O306" i="3"/>
  <c r="N306" i="3"/>
  <c r="M306" i="3"/>
  <c r="L306" i="3"/>
  <c r="Y305" i="3"/>
  <c r="X305" i="3"/>
  <c r="W305" i="3"/>
  <c r="V305" i="3"/>
  <c r="U305" i="3"/>
  <c r="T305" i="3"/>
  <c r="S305" i="3"/>
  <c r="R305" i="3"/>
  <c r="Q305" i="3"/>
  <c r="P305" i="3"/>
  <c r="O305" i="3"/>
  <c r="N305" i="3"/>
  <c r="M305" i="3"/>
  <c r="L305" i="3"/>
  <c r="Y304" i="3"/>
  <c r="X304" i="3"/>
  <c r="W304" i="3"/>
  <c r="V304" i="3"/>
  <c r="U304" i="3"/>
  <c r="T304" i="3"/>
  <c r="S304" i="3"/>
  <c r="R304" i="3"/>
  <c r="Q304" i="3"/>
  <c r="P304" i="3"/>
  <c r="O304" i="3"/>
  <c r="N304" i="3"/>
  <c r="M304" i="3"/>
  <c r="L304" i="3"/>
  <c r="Y303" i="3"/>
  <c r="X303" i="3"/>
  <c r="W303" i="3"/>
  <c r="V303" i="3"/>
  <c r="U303" i="3"/>
  <c r="T303" i="3"/>
  <c r="S303" i="3"/>
  <c r="R303" i="3"/>
  <c r="Q303" i="3"/>
  <c r="P303" i="3"/>
  <c r="O303" i="3"/>
  <c r="N303" i="3"/>
  <c r="M303" i="3"/>
  <c r="L303" i="3"/>
  <c r="Y302" i="3"/>
  <c r="X302" i="3"/>
  <c r="W302" i="3"/>
  <c r="V302" i="3"/>
  <c r="U302" i="3"/>
  <c r="T302" i="3"/>
  <c r="S302" i="3"/>
  <c r="R302" i="3"/>
  <c r="Q302" i="3"/>
  <c r="P302" i="3"/>
  <c r="O302" i="3"/>
  <c r="N302" i="3"/>
  <c r="M302" i="3"/>
  <c r="L302" i="3"/>
  <c r="Y301" i="3"/>
  <c r="X301" i="3"/>
  <c r="W301" i="3"/>
  <c r="V301" i="3"/>
  <c r="U301" i="3"/>
  <c r="T301" i="3"/>
  <c r="S301" i="3"/>
  <c r="R301" i="3"/>
  <c r="Q301" i="3"/>
  <c r="P301" i="3"/>
  <c r="O301" i="3"/>
  <c r="N301" i="3"/>
  <c r="M301" i="3"/>
  <c r="L301" i="3"/>
  <c r="Y300" i="3"/>
  <c r="X300" i="3"/>
  <c r="W300" i="3"/>
  <c r="V300" i="3"/>
  <c r="U300" i="3"/>
  <c r="T300" i="3"/>
  <c r="S300" i="3"/>
  <c r="R300" i="3"/>
  <c r="Q300" i="3"/>
  <c r="P300" i="3"/>
  <c r="O300" i="3"/>
  <c r="N300" i="3"/>
  <c r="M300" i="3"/>
  <c r="L300" i="3"/>
  <c r="Y299" i="3"/>
  <c r="X299" i="3"/>
  <c r="W299" i="3"/>
  <c r="V299" i="3"/>
  <c r="U299" i="3"/>
  <c r="T299" i="3"/>
  <c r="S299" i="3"/>
  <c r="R299" i="3"/>
  <c r="Q299" i="3"/>
  <c r="P299" i="3"/>
  <c r="O299" i="3"/>
  <c r="N299" i="3"/>
  <c r="M299" i="3"/>
  <c r="L299" i="3"/>
  <c r="Y298" i="3"/>
  <c r="X298" i="3"/>
  <c r="W298" i="3"/>
  <c r="V298" i="3"/>
  <c r="U298" i="3"/>
  <c r="T298" i="3"/>
  <c r="S298" i="3"/>
  <c r="R298" i="3"/>
  <c r="Q298" i="3"/>
  <c r="P298" i="3"/>
  <c r="O298" i="3"/>
  <c r="N298" i="3"/>
  <c r="M298" i="3"/>
  <c r="L298" i="3"/>
  <c r="Y297" i="3"/>
  <c r="X297" i="3"/>
  <c r="W297" i="3"/>
  <c r="V297" i="3"/>
  <c r="U297" i="3"/>
  <c r="T297" i="3"/>
  <c r="S297" i="3"/>
  <c r="R297" i="3"/>
  <c r="Q297" i="3"/>
  <c r="P297" i="3"/>
  <c r="O297" i="3"/>
  <c r="N297" i="3"/>
  <c r="M297" i="3"/>
  <c r="L297" i="3"/>
  <c r="Y296" i="3"/>
  <c r="X296" i="3"/>
  <c r="W296" i="3"/>
  <c r="V296" i="3"/>
  <c r="U296" i="3"/>
  <c r="T296" i="3"/>
  <c r="S296" i="3"/>
  <c r="R296" i="3"/>
  <c r="Q296" i="3"/>
  <c r="P296" i="3"/>
  <c r="O296" i="3"/>
  <c r="N296" i="3"/>
  <c r="M296" i="3"/>
  <c r="L296" i="3"/>
  <c r="Y295" i="3"/>
  <c r="X295" i="3"/>
  <c r="W295" i="3"/>
  <c r="V295" i="3"/>
  <c r="U295" i="3"/>
  <c r="T295" i="3"/>
  <c r="S295" i="3"/>
  <c r="R295" i="3"/>
  <c r="Q295" i="3"/>
  <c r="P295" i="3"/>
  <c r="O295" i="3"/>
  <c r="N295" i="3"/>
  <c r="M295" i="3"/>
  <c r="L295" i="3"/>
  <c r="Y294" i="3"/>
  <c r="X294" i="3"/>
  <c r="W294" i="3"/>
  <c r="V294" i="3"/>
  <c r="U294" i="3"/>
  <c r="T294" i="3"/>
  <c r="S294" i="3"/>
  <c r="R294" i="3"/>
  <c r="Q294" i="3"/>
  <c r="P294" i="3"/>
  <c r="O294" i="3"/>
  <c r="N294" i="3"/>
  <c r="M294" i="3"/>
  <c r="L294" i="3"/>
  <c r="Y293" i="3"/>
  <c r="X293" i="3"/>
  <c r="W293" i="3"/>
  <c r="V293" i="3"/>
  <c r="U293" i="3"/>
  <c r="T293" i="3"/>
  <c r="S293" i="3"/>
  <c r="R293" i="3"/>
  <c r="Q293" i="3"/>
  <c r="P293" i="3"/>
  <c r="O293" i="3"/>
  <c r="N293" i="3"/>
  <c r="M293" i="3"/>
  <c r="L293" i="3"/>
  <c r="Y292" i="3"/>
  <c r="X292" i="3"/>
  <c r="W292" i="3"/>
  <c r="V292" i="3"/>
  <c r="U292" i="3"/>
  <c r="T292" i="3"/>
  <c r="S292" i="3"/>
  <c r="R292" i="3"/>
  <c r="Q292" i="3"/>
  <c r="P292" i="3"/>
  <c r="O292" i="3"/>
  <c r="N292" i="3"/>
  <c r="M292" i="3"/>
  <c r="L292" i="3"/>
  <c r="Y291" i="3"/>
  <c r="X291" i="3"/>
  <c r="W291" i="3"/>
  <c r="V291" i="3"/>
  <c r="U291" i="3"/>
  <c r="T291" i="3"/>
  <c r="S291" i="3"/>
  <c r="R291" i="3"/>
  <c r="Q291" i="3"/>
  <c r="P291" i="3"/>
  <c r="O291" i="3"/>
  <c r="N291" i="3"/>
  <c r="M291" i="3"/>
  <c r="L291" i="3"/>
  <c r="Y290" i="3"/>
  <c r="X290" i="3"/>
  <c r="W290" i="3"/>
  <c r="V290" i="3"/>
  <c r="U290" i="3"/>
  <c r="T290" i="3"/>
  <c r="S290" i="3"/>
  <c r="R290" i="3"/>
  <c r="Q290" i="3"/>
  <c r="P290" i="3"/>
  <c r="O290" i="3"/>
  <c r="N290" i="3"/>
  <c r="M290" i="3"/>
  <c r="L290" i="3"/>
  <c r="Y289" i="3"/>
  <c r="X289" i="3"/>
  <c r="W289" i="3"/>
  <c r="V289" i="3"/>
  <c r="U289" i="3"/>
  <c r="T289" i="3"/>
  <c r="S289" i="3"/>
  <c r="R289" i="3"/>
  <c r="Q289" i="3"/>
  <c r="P289" i="3"/>
  <c r="O289" i="3"/>
  <c r="N289" i="3"/>
  <c r="M289" i="3"/>
  <c r="L289" i="3"/>
  <c r="Y288" i="3"/>
  <c r="X288" i="3"/>
  <c r="W288" i="3"/>
  <c r="V288" i="3"/>
  <c r="U288" i="3"/>
  <c r="T288" i="3"/>
  <c r="S288" i="3"/>
  <c r="R288" i="3"/>
  <c r="Q288" i="3"/>
  <c r="P288" i="3"/>
  <c r="O288" i="3"/>
  <c r="N288" i="3"/>
  <c r="M288" i="3"/>
  <c r="L288" i="3"/>
  <c r="Y287" i="3"/>
  <c r="X287" i="3"/>
  <c r="W287" i="3"/>
  <c r="V287" i="3"/>
  <c r="U287" i="3"/>
  <c r="T287" i="3"/>
  <c r="S287" i="3"/>
  <c r="R287" i="3"/>
  <c r="Q287" i="3"/>
  <c r="P287" i="3"/>
  <c r="O287" i="3"/>
  <c r="N287" i="3"/>
  <c r="M287" i="3"/>
  <c r="L287" i="3"/>
  <c r="Y286" i="3"/>
  <c r="X286" i="3"/>
  <c r="W286" i="3"/>
  <c r="V286" i="3"/>
  <c r="U286" i="3"/>
  <c r="T286" i="3"/>
  <c r="S286" i="3"/>
  <c r="R286" i="3"/>
  <c r="Q286" i="3"/>
  <c r="P286" i="3"/>
  <c r="O286" i="3"/>
  <c r="N286" i="3"/>
  <c r="M286" i="3"/>
  <c r="L286" i="3"/>
  <c r="Y285" i="3"/>
  <c r="X285" i="3"/>
  <c r="W285" i="3"/>
  <c r="V285" i="3"/>
  <c r="U285" i="3"/>
  <c r="T285" i="3"/>
  <c r="S285" i="3"/>
  <c r="R285" i="3"/>
  <c r="Q285" i="3"/>
  <c r="P285" i="3"/>
  <c r="O285" i="3"/>
  <c r="N285" i="3"/>
  <c r="M285" i="3"/>
  <c r="L285" i="3"/>
  <c r="Y284" i="3"/>
  <c r="X284" i="3"/>
  <c r="W284" i="3"/>
  <c r="V284" i="3"/>
  <c r="U284" i="3"/>
  <c r="T284" i="3"/>
  <c r="S284" i="3"/>
  <c r="R284" i="3"/>
  <c r="Q284" i="3"/>
  <c r="P284" i="3"/>
  <c r="O284" i="3"/>
  <c r="N284" i="3"/>
  <c r="M284" i="3"/>
  <c r="L284" i="3"/>
  <c r="Y283" i="3"/>
  <c r="X283" i="3"/>
  <c r="W283" i="3"/>
  <c r="V283" i="3"/>
  <c r="U283" i="3"/>
  <c r="T283" i="3"/>
  <c r="S283" i="3"/>
  <c r="R283" i="3"/>
  <c r="Q283" i="3"/>
  <c r="P283" i="3"/>
  <c r="O283" i="3"/>
  <c r="N283" i="3"/>
  <c r="M283" i="3"/>
  <c r="L283" i="3"/>
  <c r="Y282" i="3"/>
  <c r="X282" i="3"/>
  <c r="W282" i="3"/>
  <c r="V282" i="3"/>
  <c r="U282" i="3"/>
  <c r="T282" i="3"/>
  <c r="S282" i="3"/>
  <c r="R282" i="3"/>
  <c r="Q282" i="3"/>
  <c r="P282" i="3"/>
  <c r="O282" i="3"/>
  <c r="N282" i="3"/>
  <c r="M282" i="3"/>
  <c r="L282" i="3"/>
  <c r="Y281" i="3"/>
  <c r="X281" i="3"/>
  <c r="W281" i="3"/>
  <c r="V281" i="3"/>
  <c r="U281" i="3"/>
  <c r="T281" i="3"/>
  <c r="S281" i="3"/>
  <c r="R281" i="3"/>
  <c r="Q281" i="3"/>
  <c r="P281" i="3"/>
  <c r="O281" i="3"/>
  <c r="N281" i="3"/>
  <c r="M281" i="3"/>
  <c r="L281" i="3"/>
  <c r="Y280" i="3"/>
  <c r="X280" i="3"/>
  <c r="W280" i="3"/>
  <c r="V280" i="3"/>
  <c r="U280" i="3"/>
  <c r="T280" i="3"/>
  <c r="S280" i="3"/>
  <c r="R280" i="3"/>
  <c r="Q280" i="3"/>
  <c r="P280" i="3"/>
  <c r="O280" i="3"/>
  <c r="N280" i="3"/>
  <c r="M280" i="3"/>
  <c r="L280" i="3"/>
  <c r="Y279" i="3"/>
  <c r="X279" i="3"/>
  <c r="W279" i="3"/>
  <c r="V279" i="3"/>
  <c r="U279" i="3"/>
  <c r="T279" i="3"/>
  <c r="S279" i="3"/>
  <c r="R279" i="3"/>
  <c r="Q279" i="3"/>
  <c r="P279" i="3"/>
  <c r="O279" i="3"/>
  <c r="N279" i="3"/>
  <c r="M279" i="3"/>
  <c r="L279" i="3"/>
  <c r="Y278" i="3"/>
  <c r="X278" i="3"/>
  <c r="W278" i="3"/>
  <c r="V278" i="3"/>
  <c r="U278" i="3"/>
  <c r="T278" i="3"/>
  <c r="S278" i="3"/>
  <c r="R278" i="3"/>
  <c r="Q278" i="3"/>
  <c r="P278" i="3"/>
  <c r="O278" i="3"/>
  <c r="N278" i="3"/>
  <c r="M278" i="3"/>
  <c r="L278" i="3"/>
  <c r="Y277" i="3"/>
  <c r="X277" i="3"/>
  <c r="W277" i="3"/>
  <c r="V277" i="3"/>
  <c r="U277" i="3"/>
  <c r="T277" i="3"/>
  <c r="S277" i="3"/>
  <c r="R277" i="3"/>
  <c r="Q277" i="3"/>
  <c r="P277" i="3"/>
  <c r="O277" i="3"/>
  <c r="N277" i="3"/>
  <c r="M277" i="3"/>
  <c r="L277" i="3"/>
  <c r="Y276" i="3"/>
  <c r="X276" i="3"/>
  <c r="W276" i="3"/>
  <c r="V276" i="3"/>
  <c r="U276" i="3"/>
  <c r="T276" i="3"/>
  <c r="S276" i="3"/>
  <c r="R276" i="3"/>
  <c r="Q276" i="3"/>
  <c r="P276" i="3"/>
  <c r="O276" i="3"/>
  <c r="N276" i="3"/>
  <c r="M276" i="3"/>
  <c r="L276" i="3"/>
  <c r="Y275" i="3"/>
  <c r="X275" i="3"/>
  <c r="W275" i="3"/>
  <c r="V275" i="3"/>
  <c r="U275" i="3"/>
  <c r="T275" i="3"/>
  <c r="S275" i="3"/>
  <c r="R275" i="3"/>
  <c r="Q275" i="3"/>
  <c r="P275" i="3"/>
  <c r="O275" i="3"/>
  <c r="N275" i="3"/>
  <c r="M275" i="3"/>
  <c r="L275" i="3"/>
  <c r="Y274" i="3"/>
  <c r="X274" i="3"/>
  <c r="W274" i="3"/>
  <c r="V274" i="3"/>
  <c r="U274" i="3"/>
  <c r="T274" i="3"/>
  <c r="S274" i="3"/>
  <c r="R274" i="3"/>
  <c r="Q274" i="3"/>
  <c r="P274" i="3"/>
  <c r="O274" i="3"/>
  <c r="N274" i="3"/>
  <c r="M274" i="3"/>
  <c r="L274" i="3"/>
  <c r="Y273" i="3"/>
  <c r="X273" i="3"/>
  <c r="W273" i="3"/>
  <c r="V273" i="3"/>
  <c r="U273" i="3"/>
  <c r="T273" i="3"/>
  <c r="S273" i="3"/>
  <c r="R273" i="3"/>
  <c r="Q273" i="3"/>
  <c r="P273" i="3"/>
  <c r="O273" i="3"/>
  <c r="N273" i="3"/>
  <c r="M273" i="3"/>
  <c r="L273" i="3"/>
  <c r="Y272" i="3"/>
  <c r="X272" i="3"/>
  <c r="W272" i="3"/>
  <c r="V272" i="3"/>
  <c r="U272" i="3"/>
  <c r="T272" i="3"/>
  <c r="S272" i="3"/>
  <c r="R272" i="3"/>
  <c r="Q272" i="3"/>
  <c r="P272" i="3"/>
  <c r="O272" i="3"/>
  <c r="N272" i="3"/>
  <c r="M272" i="3"/>
  <c r="L272" i="3"/>
  <c r="Y271" i="3"/>
  <c r="X271" i="3"/>
  <c r="W271" i="3"/>
  <c r="V271" i="3"/>
  <c r="U271" i="3"/>
  <c r="T271" i="3"/>
  <c r="S271" i="3"/>
  <c r="R271" i="3"/>
  <c r="Q271" i="3"/>
  <c r="P271" i="3"/>
  <c r="O271" i="3"/>
  <c r="N271" i="3"/>
  <c r="M271" i="3"/>
  <c r="L271" i="3"/>
  <c r="Y270" i="3"/>
  <c r="X270" i="3"/>
  <c r="W270" i="3"/>
  <c r="V270" i="3"/>
  <c r="U270" i="3"/>
  <c r="T270" i="3"/>
  <c r="S270" i="3"/>
  <c r="R270" i="3"/>
  <c r="Q270" i="3"/>
  <c r="P270" i="3"/>
  <c r="O270" i="3"/>
  <c r="N270" i="3"/>
  <c r="M270" i="3"/>
  <c r="L270" i="3"/>
  <c r="Y269" i="3"/>
  <c r="X269" i="3"/>
  <c r="W269" i="3"/>
  <c r="V269" i="3"/>
  <c r="U269" i="3"/>
  <c r="T269" i="3"/>
  <c r="S269" i="3"/>
  <c r="R269" i="3"/>
  <c r="Q269" i="3"/>
  <c r="P269" i="3"/>
  <c r="O269" i="3"/>
  <c r="N269" i="3"/>
  <c r="M269" i="3"/>
  <c r="L269" i="3"/>
  <c r="Y268" i="3"/>
  <c r="X268" i="3"/>
  <c r="W268" i="3"/>
  <c r="V268" i="3"/>
  <c r="U268" i="3"/>
  <c r="T268" i="3"/>
  <c r="S268" i="3"/>
  <c r="R268" i="3"/>
  <c r="Q268" i="3"/>
  <c r="P268" i="3"/>
  <c r="O268" i="3"/>
  <c r="N268" i="3"/>
  <c r="M268" i="3"/>
  <c r="L268" i="3"/>
  <c r="Y267" i="3"/>
  <c r="X267" i="3"/>
  <c r="W267" i="3"/>
  <c r="V267" i="3"/>
  <c r="U267" i="3"/>
  <c r="T267" i="3"/>
  <c r="S267" i="3"/>
  <c r="R267" i="3"/>
  <c r="Q267" i="3"/>
  <c r="P267" i="3"/>
  <c r="O267" i="3"/>
  <c r="N267" i="3"/>
  <c r="M267" i="3"/>
  <c r="L267" i="3"/>
  <c r="Y266" i="3"/>
  <c r="X266" i="3"/>
  <c r="W266" i="3"/>
  <c r="V266" i="3"/>
  <c r="U266" i="3"/>
  <c r="T266" i="3"/>
  <c r="S266" i="3"/>
  <c r="R266" i="3"/>
  <c r="Q266" i="3"/>
  <c r="P266" i="3"/>
  <c r="O266" i="3"/>
  <c r="N266" i="3"/>
  <c r="M266" i="3"/>
  <c r="L266" i="3"/>
  <c r="Y265" i="3"/>
  <c r="X265" i="3"/>
  <c r="W265" i="3"/>
  <c r="V265" i="3"/>
  <c r="U265" i="3"/>
  <c r="T265" i="3"/>
  <c r="S265" i="3"/>
  <c r="R265" i="3"/>
  <c r="Q265" i="3"/>
  <c r="P265" i="3"/>
  <c r="O265" i="3"/>
  <c r="N265" i="3"/>
  <c r="M265" i="3"/>
  <c r="L265" i="3"/>
  <c r="Y264" i="3"/>
  <c r="X264" i="3"/>
  <c r="W264" i="3"/>
  <c r="V264" i="3"/>
  <c r="U264" i="3"/>
  <c r="T264" i="3"/>
  <c r="S264" i="3"/>
  <c r="R264" i="3"/>
  <c r="Q264" i="3"/>
  <c r="P264" i="3"/>
  <c r="O264" i="3"/>
  <c r="N264" i="3"/>
  <c r="M264" i="3"/>
  <c r="L264" i="3"/>
  <c r="Y263" i="3"/>
  <c r="X263" i="3"/>
  <c r="W263" i="3"/>
  <c r="V263" i="3"/>
  <c r="U263" i="3"/>
  <c r="T263" i="3"/>
  <c r="S263" i="3"/>
  <c r="R263" i="3"/>
  <c r="Q263" i="3"/>
  <c r="P263" i="3"/>
  <c r="O263" i="3"/>
  <c r="N263" i="3"/>
  <c r="M263" i="3"/>
  <c r="L263" i="3"/>
  <c r="Y262" i="3"/>
  <c r="X262" i="3"/>
  <c r="W262" i="3"/>
  <c r="V262" i="3"/>
  <c r="U262" i="3"/>
  <c r="T262" i="3"/>
  <c r="S262" i="3"/>
  <c r="R262" i="3"/>
  <c r="Q262" i="3"/>
  <c r="P262" i="3"/>
  <c r="O262" i="3"/>
  <c r="N262" i="3"/>
  <c r="M262" i="3"/>
  <c r="L262" i="3"/>
  <c r="Y261" i="3"/>
  <c r="X261" i="3"/>
  <c r="W261" i="3"/>
  <c r="V261" i="3"/>
  <c r="U261" i="3"/>
  <c r="T261" i="3"/>
  <c r="S261" i="3"/>
  <c r="R261" i="3"/>
  <c r="Q261" i="3"/>
  <c r="P261" i="3"/>
  <c r="O261" i="3"/>
  <c r="N261" i="3"/>
  <c r="M261" i="3"/>
  <c r="L261" i="3"/>
  <c r="Y260" i="3"/>
  <c r="X260" i="3"/>
  <c r="W260" i="3"/>
  <c r="V260" i="3"/>
  <c r="U260" i="3"/>
  <c r="T260" i="3"/>
  <c r="S260" i="3"/>
  <c r="R260" i="3"/>
  <c r="Q260" i="3"/>
  <c r="P260" i="3"/>
  <c r="O260" i="3"/>
  <c r="N260" i="3"/>
  <c r="M260" i="3"/>
  <c r="L260" i="3"/>
  <c r="Y259" i="3"/>
  <c r="X259" i="3"/>
  <c r="W259" i="3"/>
  <c r="V259" i="3"/>
  <c r="U259" i="3"/>
  <c r="T259" i="3"/>
  <c r="S259" i="3"/>
  <c r="R259" i="3"/>
  <c r="Q259" i="3"/>
  <c r="P259" i="3"/>
  <c r="O259" i="3"/>
  <c r="N259" i="3"/>
  <c r="M259" i="3"/>
  <c r="L259" i="3"/>
  <c r="Y258" i="3"/>
  <c r="X258" i="3"/>
  <c r="W258" i="3"/>
  <c r="V258" i="3"/>
  <c r="U258" i="3"/>
  <c r="T258" i="3"/>
  <c r="S258" i="3"/>
  <c r="R258" i="3"/>
  <c r="Q258" i="3"/>
  <c r="P258" i="3"/>
  <c r="O258" i="3"/>
  <c r="N258" i="3"/>
  <c r="M258" i="3"/>
  <c r="L258" i="3"/>
  <c r="Y257" i="3"/>
  <c r="X257" i="3"/>
  <c r="W257" i="3"/>
  <c r="V257" i="3"/>
  <c r="U257" i="3"/>
  <c r="T257" i="3"/>
  <c r="S257" i="3"/>
  <c r="R257" i="3"/>
  <c r="Q257" i="3"/>
  <c r="P257" i="3"/>
  <c r="O257" i="3"/>
  <c r="N257" i="3"/>
  <c r="M257" i="3"/>
  <c r="L257" i="3"/>
  <c r="Y256" i="3"/>
  <c r="X256" i="3"/>
  <c r="W256" i="3"/>
  <c r="V256" i="3"/>
  <c r="U256" i="3"/>
  <c r="T256" i="3"/>
  <c r="S256" i="3"/>
  <c r="R256" i="3"/>
  <c r="Q256" i="3"/>
  <c r="P256" i="3"/>
  <c r="O256" i="3"/>
  <c r="N256" i="3"/>
  <c r="M256" i="3"/>
  <c r="L256" i="3"/>
  <c r="Y255" i="3"/>
  <c r="X255" i="3"/>
  <c r="W255" i="3"/>
  <c r="V255" i="3"/>
  <c r="U255" i="3"/>
  <c r="T255" i="3"/>
  <c r="S255" i="3"/>
  <c r="R255" i="3"/>
  <c r="Q255" i="3"/>
  <c r="P255" i="3"/>
  <c r="O255" i="3"/>
  <c r="N255" i="3"/>
  <c r="M255" i="3"/>
  <c r="L255" i="3"/>
  <c r="Y254" i="3"/>
  <c r="X254" i="3"/>
  <c r="W254" i="3"/>
  <c r="V254" i="3"/>
  <c r="U254" i="3"/>
  <c r="T254" i="3"/>
  <c r="S254" i="3"/>
  <c r="R254" i="3"/>
  <c r="Q254" i="3"/>
  <c r="P254" i="3"/>
  <c r="O254" i="3"/>
  <c r="N254" i="3"/>
  <c r="M254" i="3"/>
  <c r="L254" i="3"/>
  <c r="Y253" i="3"/>
  <c r="X253" i="3"/>
  <c r="W253" i="3"/>
  <c r="V253" i="3"/>
  <c r="U253" i="3"/>
  <c r="T253" i="3"/>
  <c r="S253" i="3"/>
  <c r="R253" i="3"/>
  <c r="Q253" i="3"/>
  <c r="P253" i="3"/>
  <c r="O253" i="3"/>
  <c r="N253" i="3"/>
  <c r="M253" i="3"/>
  <c r="L253" i="3"/>
  <c r="Y252" i="3"/>
  <c r="X252" i="3"/>
  <c r="W252" i="3"/>
  <c r="V252" i="3"/>
  <c r="U252" i="3"/>
  <c r="T252" i="3"/>
  <c r="S252" i="3"/>
  <c r="R252" i="3"/>
  <c r="Q252" i="3"/>
  <c r="P252" i="3"/>
  <c r="O252" i="3"/>
  <c r="N252" i="3"/>
  <c r="M252" i="3"/>
  <c r="L252" i="3"/>
  <c r="Y251" i="3"/>
  <c r="X251" i="3"/>
  <c r="W251" i="3"/>
  <c r="V251" i="3"/>
  <c r="U251" i="3"/>
  <c r="T251" i="3"/>
  <c r="S251" i="3"/>
  <c r="R251" i="3"/>
  <c r="Q251" i="3"/>
  <c r="P251" i="3"/>
  <c r="O251" i="3"/>
  <c r="N251" i="3"/>
  <c r="M251" i="3"/>
  <c r="L251" i="3"/>
  <c r="Y250" i="3"/>
  <c r="X250" i="3"/>
  <c r="W250" i="3"/>
  <c r="V250" i="3"/>
  <c r="U250" i="3"/>
  <c r="T250" i="3"/>
  <c r="S250" i="3"/>
  <c r="R250" i="3"/>
  <c r="Q250" i="3"/>
  <c r="P250" i="3"/>
  <c r="O250" i="3"/>
  <c r="N250" i="3"/>
  <c r="M250" i="3"/>
  <c r="L250" i="3"/>
  <c r="Y249" i="3"/>
  <c r="X249" i="3"/>
  <c r="W249" i="3"/>
  <c r="V249" i="3"/>
  <c r="U249" i="3"/>
  <c r="T249" i="3"/>
  <c r="S249" i="3"/>
  <c r="R249" i="3"/>
  <c r="Q249" i="3"/>
  <c r="P249" i="3"/>
  <c r="O249" i="3"/>
  <c r="N249" i="3"/>
  <c r="M249" i="3"/>
  <c r="L249" i="3"/>
  <c r="Y248" i="3"/>
  <c r="X248" i="3"/>
  <c r="W248" i="3"/>
  <c r="V248" i="3"/>
  <c r="U248" i="3"/>
  <c r="T248" i="3"/>
  <c r="S248" i="3"/>
  <c r="R248" i="3"/>
  <c r="Q248" i="3"/>
  <c r="P248" i="3"/>
  <c r="O248" i="3"/>
  <c r="N248" i="3"/>
  <c r="M248" i="3"/>
  <c r="L248" i="3"/>
  <c r="Y247" i="3"/>
  <c r="X247" i="3"/>
  <c r="W247" i="3"/>
  <c r="V247" i="3"/>
  <c r="U247" i="3"/>
  <c r="T247" i="3"/>
  <c r="S247" i="3"/>
  <c r="R247" i="3"/>
  <c r="Q247" i="3"/>
  <c r="P247" i="3"/>
  <c r="O247" i="3"/>
  <c r="N247" i="3"/>
  <c r="M247" i="3"/>
  <c r="L247" i="3"/>
  <c r="Y246" i="3"/>
  <c r="X246" i="3"/>
  <c r="W246" i="3"/>
  <c r="V246" i="3"/>
  <c r="U246" i="3"/>
  <c r="T246" i="3"/>
  <c r="S246" i="3"/>
  <c r="R246" i="3"/>
  <c r="Q246" i="3"/>
  <c r="P246" i="3"/>
  <c r="O246" i="3"/>
  <c r="N246" i="3"/>
  <c r="M246" i="3"/>
  <c r="L246" i="3"/>
  <c r="Y245" i="3"/>
  <c r="X245" i="3"/>
  <c r="W245" i="3"/>
  <c r="V245" i="3"/>
  <c r="U245" i="3"/>
  <c r="T245" i="3"/>
  <c r="S245" i="3"/>
  <c r="R245" i="3"/>
  <c r="Q245" i="3"/>
  <c r="P245" i="3"/>
  <c r="O245" i="3"/>
  <c r="N245" i="3"/>
  <c r="M245" i="3"/>
  <c r="L245" i="3"/>
  <c r="Y244" i="3"/>
  <c r="X244" i="3"/>
  <c r="W244" i="3"/>
  <c r="V244" i="3"/>
  <c r="U244" i="3"/>
  <c r="T244" i="3"/>
  <c r="S244" i="3"/>
  <c r="R244" i="3"/>
  <c r="Q244" i="3"/>
  <c r="P244" i="3"/>
  <c r="O244" i="3"/>
  <c r="N244" i="3"/>
  <c r="M244" i="3"/>
  <c r="L244" i="3"/>
  <c r="Y243" i="3"/>
  <c r="X243" i="3"/>
  <c r="W243" i="3"/>
  <c r="V243" i="3"/>
  <c r="U243" i="3"/>
  <c r="T243" i="3"/>
  <c r="S243" i="3"/>
  <c r="R243" i="3"/>
  <c r="Q243" i="3"/>
  <c r="P243" i="3"/>
  <c r="O243" i="3"/>
  <c r="N243" i="3"/>
  <c r="M243" i="3"/>
  <c r="L243" i="3"/>
  <c r="Y242" i="3"/>
  <c r="X242" i="3"/>
  <c r="W242" i="3"/>
  <c r="V242" i="3"/>
  <c r="U242" i="3"/>
  <c r="T242" i="3"/>
  <c r="S242" i="3"/>
  <c r="R242" i="3"/>
  <c r="Q242" i="3"/>
  <c r="P242" i="3"/>
  <c r="O242" i="3"/>
  <c r="N242" i="3"/>
  <c r="M242" i="3"/>
  <c r="L242" i="3"/>
  <c r="Y241" i="3"/>
  <c r="X241" i="3"/>
  <c r="W241" i="3"/>
  <c r="V241" i="3"/>
  <c r="U241" i="3"/>
  <c r="T241" i="3"/>
  <c r="S241" i="3"/>
  <c r="R241" i="3"/>
  <c r="Q241" i="3"/>
  <c r="P241" i="3"/>
  <c r="O241" i="3"/>
  <c r="N241" i="3"/>
  <c r="M241" i="3"/>
  <c r="L241" i="3"/>
  <c r="Y240" i="3"/>
  <c r="X240" i="3"/>
  <c r="W240" i="3"/>
  <c r="V240" i="3"/>
  <c r="U240" i="3"/>
  <c r="T240" i="3"/>
  <c r="S240" i="3"/>
  <c r="R240" i="3"/>
  <c r="Q240" i="3"/>
  <c r="P240" i="3"/>
  <c r="O240" i="3"/>
  <c r="N240" i="3"/>
  <c r="M240" i="3"/>
  <c r="L240" i="3"/>
  <c r="Y239" i="3"/>
  <c r="X239" i="3"/>
  <c r="W239" i="3"/>
  <c r="V239" i="3"/>
  <c r="U239" i="3"/>
  <c r="T239" i="3"/>
  <c r="S239" i="3"/>
  <c r="R239" i="3"/>
  <c r="Q239" i="3"/>
  <c r="P239" i="3"/>
  <c r="O239" i="3"/>
  <c r="N239" i="3"/>
  <c r="M239" i="3"/>
  <c r="L239" i="3"/>
  <c r="Y238" i="3"/>
  <c r="X238" i="3"/>
  <c r="W238" i="3"/>
  <c r="V238" i="3"/>
  <c r="U238" i="3"/>
  <c r="T238" i="3"/>
  <c r="S238" i="3"/>
  <c r="R238" i="3"/>
  <c r="Q238" i="3"/>
  <c r="P238" i="3"/>
  <c r="O238" i="3"/>
  <c r="N238" i="3"/>
  <c r="M238" i="3"/>
  <c r="L238" i="3"/>
  <c r="Y237" i="3"/>
  <c r="X237" i="3"/>
  <c r="W237" i="3"/>
  <c r="V237" i="3"/>
  <c r="U237" i="3"/>
  <c r="T237" i="3"/>
  <c r="S237" i="3"/>
  <c r="R237" i="3"/>
  <c r="Q237" i="3"/>
  <c r="P237" i="3"/>
  <c r="O237" i="3"/>
  <c r="N237" i="3"/>
  <c r="M237" i="3"/>
  <c r="L237" i="3"/>
  <c r="Y236" i="3"/>
  <c r="X236" i="3"/>
  <c r="W236" i="3"/>
  <c r="V236" i="3"/>
  <c r="U236" i="3"/>
  <c r="T236" i="3"/>
  <c r="S236" i="3"/>
  <c r="R236" i="3"/>
  <c r="Q236" i="3"/>
  <c r="P236" i="3"/>
  <c r="O236" i="3"/>
  <c r="N236" i="3"/>
  <c r="M236" i="3"/>
  <c r="L236" i="3"/>
  <c r="Y235" i="3"/>
  <c r="X235" i="3"/>
  <c r="W235" i="3"/>
  <c r="V235" i="3"/>
  <c r="U235" i="3"/>
  <c r="T235" i="3"/>
  <c r="S235" i="3"/>
  <c r="R235" i="3"/>
  <c r="Q235" i="3"/>
  <c r="P235" i="3"/>
  <c r="O235" i="3"/>
  <c r="N235" i="3"/>
  <c r="M235" i="3"/>
  <c r="L235" i="3"/>
  <c r="Y234" i="3"/>
  <c r="X234" i="3"/>
  <c r="W234" i="3"/>
  <c r="V234" i="3"/>
  <c r="U234" i="3"/>
  <c r="T234" i="3"/>
  <c r="S234" i="3"/>
  <c r="R234" i="3"/>
  <c r="Q234" i="3"/>
  <c r="P234" i="3"/>
  <c r="O234" i="3"/>
  <c r="N234" i="3"/>
  <c r="M234" i="3"/>
  <c r="L234" i="3"/>
  <c r="Y233" i="3"/>
  <c r="X233" i="3"/>
  <c r="W233" i="3"/>
  <c r="V233" i="3"/>
  <c r="U233" i="3"/>
  <c r="T233" i="3"/>
  <c r="S233" i="3"/>
  <c r="R233" i="3"/>
  <c r="Q233" i="3"/>
  <c r="P233" i="3"/>
  <c r="O233" i="3"/>
  <c r="N233" i="3"/>
  <c r="M233" i="3"/>
  <c r="L233" i="3"/>
  <c r="Y232" i="3"/>
  <c r="X232" i="3"/>
  <c r="W232" i="3"/>
  <c r="V232" i="3"/>
  <c r="U232" i="3"/>
  <c r="T232" i="3"/>
  <c r="S232" i="3"/>
  <c r="R232" i="3"/>
  <c r="Q232" i="3"/>
  <c r="P232" i="3"/>
  <c r="O232" i="3"/>
  <c r="N232" i="3"/>
  <c r="M232" i="3"/>
  <c r="L232" i="3"/>
  <c r="Y231" i="3"/>
  <c r="X231" i="3"/>
  <c r="W231" i="3"/>
  <c r="V231" i="3"/>
  <c r="U231" i="3"/>
  <c r="T231" i="3"/>
  <c r="S231" i="3"/>
  <c r="R231" i="3"/>
  <c r="Q231" i="3"/>
  <c r="P231" i="3"/>
  <c r="O231" i="3"/>
  <c r="N231" i="3"/>
  <c r="M231" i="3"/>
  <c r="L231" i="3"/>
  <c r="Y230" i="3"/>
  <c r="X230" i="3"/>
  <c r="W230" i="3"/>
  <c r="V230" i="3"/>
  <c r="U230" i="3"/>
  <c r="T230" i="3"/>
  <c r="S230" i="3"/>
  <c r="R230" i="3"/>
  <c r="Q230" i="3"/>
  <c r="P230" i="3"/>
  <c r="O230" i="3"/>
  <c r="N230" i="3"/>
  <c r="M230" i="3"/>
  <c r="L230" i="3"/>
  <c r="Y229" i="3"/>
  <c r="X229" i="3"/>
  <c r="W229" i="3"/>
  <c r="V229" i="3"/>
  <c r="U229" i="3"/>
  <c r="T229" i="3"/>
  <c r="S229" i="3"/>
  <c r="R229" i="3"/>
  <c r="Q229" i="3"/>
  <c r="P229" i="3"/>
  <c r="O229" i="3"/>
  <c r="N229" i="3"/>
  <c r="M229" i="3"/>
  <c r="L229" i="3"/>
  <c r="Y228" i="3"/>
  <c r="X228" i="3"/>
  <c r="W228" i="3"/>
  <c r="V228" i="3"/>
  <c r="U228" i="3"/>
  <c r="T228" i="3"/>
  <c r="S228" i="3"/>
  <c r="R228" i="3"/>
  <c r="Q228" i="3"/>
  <c r="P228" i="3"/>
  <c r="O228" i="3"/>
  <c r="N228" i="3"/>
  <c r="M228" i="3"/>
  <c r="L228" i="3"/>
  <c r="Y227" i="3"/>
  <c r="X227" i="3"/>
  <c r="W227" i="3"/>
  <c r="V227" i="3"/>
  <c r="U227" i="3"/>
  <c r="T227" i="3"/>
  <c r="S227" i="3"/>
  <c r="R227" i="3"/>
  <c r="Q227" i="3"/>
  <c r="P227" i="3"/>
  <c r="O227" i="3"/>
  <c r="N227" i="3"/>
  <c r="M227" i="3"/>
  <c r="L227" i="3"/>
  <c r="Y226" i="3"/>
  <c r="X226" i="3"/>
  <c r="W226" i="3"/>
  <c r="V226" i="3"/>
  <c r="U226" i="3"/>
  <c r="T226" i="3"/>
  <c r="S226" i="3"/>
  <c r="R226" i="3"/>
  <c r="Q226" i="3"/>
  <c r="P226" i="3"/>
  <c r="O226" i="3"/>
  <c r="N226" i="3"/>
  <c r="M226" i="3"/>
  <c r="L226" i="3"/>
  <c r="Y225" i="3"/>
  <c r="X225" i="3"/>
  <c r="W225" i="3"/>
  <c r="V225" i="3"/>
  <c r="U225" i="3"/>
  <c r="T225" i="3"/>
  <c r="S225" i="3"/>
  <c r="R225" i="3"/>
  <c r="Q225" i="3"/>
  <c r="P225" i="3"/>
  <c r="O225" i="3"/>
  <c r="N225" i="3"/>
  <c r="M225" i="3"/>
  <c r="L225" i="3"/>
  <c r="Y224" i="3"/>
  <c r="X224" i="3"/>
  <c r="W224" i="3"/>
  <c r="V224" i="3"/>
  <c r="U224" i="3"/>
  <c r="T224" i="3"/>
  <c r="S224" i="3"/>
  <c r="R224" i="3"/>
  <c r="Q224" i="3"/>
  <c r="P224" i="3"/>
  <c r="O224" i="3"/>
  <c r="N224" i="3"/>
  <c r="M224" i="3"/>
  <c r="L224" i="3"/>
  <c r="Y223" i="3"/>
  <c r="X223" i="3"/>
  <c r="W223" i="3"/>
  <c r="V223" i="3"/>
  <c r="U223" i="3"/>
  <c r="T223" i="3"/>
  <c r="S223" i="3"/>
  <c r="R223" i="3"/>
  <c r="Q223" i="3"/>
  <c r="P223" i="3"/>
  <c r="O223" i="3"/>
  <c r="N223" i="3"/>
  <c r="M223" i="3"/>
  <c r="L223" i="3"/>
  <c r="Y222" i="3"/>
  <c r="X222" i="3"/>
  <c r="W222" i="3"/>
  <c r="V222" i="3"/>
  <c r="U222" i="3"/>
  <c r="T222" i="3"/>
  <c r="S222" i="3"/>
  <c r="R222" i="3"/>
  <c r="Q222" i="3"/>
  <c r="P222" i="3"/>
  <c r="O222" i="3"/>
  <c r="N222" i="3"/>
  <c r="M222" i="3"/>
  <c r="L222" i="3"/>
  <c r="Y221" i="3"/>
  <c r="X221" i="3"/>
  <c r="W221" i="3"/>
  <c r="V221" i="3"/>
  <c r="U221" i="3"/>
  <c r="T221" i="3"/>
  <c r="S221" i="3"/>
  <c r="R221" i="3"/>
  <c r="Q221" i="3"/>
  <c r="P221" i="3"/>
  <c r="O221" i="3"/>
  <c r="N221" i="3"/>
  <c r="M221" i="3"/>
  <c r="L221" i="3"/>
  <c r="Y220" i="3"/>
  <c r="X220" i="3"/>
  <c r="W220" i="3"/>
  <c r="V220" i="3"/>
  <c r="U220" i="3"/>
  <c r="T220" i="3"/>
  <c r="S220" i="3"/>
  <c r="R220" i="3"/>
  <c r="Q220" i="3"/>
  <c r="P220" i="3"/>
  <c r="O220" i="3"/>
  <c r="N220" i="3"/>
  <c r="M220" i="3"/>
  <c r="L220" i="3"/>
  <c r="Y219" i="3"/>
  <c r="X219" i="3"/>
  <c r="W219" i="3"/>
  <c r="V219" i="3"/>
  <c r="U219" i="3"/>
  <c r="T219" i="3"/>
  <c r="S219" i="3"/>
  <c r="R219" i="3"/>
  <c r="Q219" i="3"/>
  <c r="P219" i="3"/>
  <c r="O219" i="3"/>
  <c r="N219" i="3"/>
  <c r="M219" i="3"/>
  <c r="L219" i="3"/>
  <c r="Y218" i="3"/>
  <c r="X218" i="3"/>
  <c r="W218" i="3"/>
  <c r="V218" i="3"/>
  <c r="U218" i="3"/>
  <c r="T218" i="3"/>
  <c r="S218" i="3"/>
  <c r="R218" i="3"/>
  <c r="Q218" i="3"/>
  <c r="P218" i="3"/>
  <c r="O218" i="3"/>
  <c r="N218" i="3"/>
  <c r="M218" i="3"/>
  <c r="L218" i="3"/>
  <c r="Y217" i="3"/>
  <c r="X217" i="3"/>
  <c r="W217" i="3"/>
  <c r="V217" i="3"/>
  <c r="U217" i="3"/>
  <c r="T217" i="3"/>
  <c r="S217" i="3"/>
  <c r="R217" i="3"/>
  <c r="Q217" i="3"/>
  <c r="P217" i="3"/>
  <c r="O217" i="3"/>
  <c r="N217" i="3"/>
  <c r="M217" i="3"/>
  <c r="L217" i="3"/>
  <c r="Y216" i="3"/>
  <c r="X216" i="3"/>
  <c r="W216" i="3"/>
  <c r="V216" i="3"/>
  <c r="U216" i="3"/>
  <c r="T216" i="3"/>
  <c r="S216" i="3"/>
  <c r="R216" i="3"/>
  <c r="Q216" i="3"/>
  <c r="P216" i="3"/>
  <c r="O216" i="3"/>
  <c r="N216" i="3"/>
  <c r="M216" i="3"/>
  <c r="L216" i="3"/>
  <c r="Y215" i="3"/>
  <c r="X215" i="3"/>
  <c r="W215" i="3"/>
  <c r="V215" i="3"/>
  <c r="U215" i="3"/>
  <c r="T215" i="3"/>
  <c r="S215" i="3"/>
  <c r="R215" i="3"/>
  <c r="Q215" i="3"/>
  <c r="P215" i="3"/>
  <c r="O215" i="3"/>
  <c r="N215" i="3"/>
  <c r="M215" i="3"/>
  <c r="L215" i="3"/>
  <c r="Y214" i="3"/>
  <c r="X214" i="3"/>
  <c r="W214" i="3"/>
  <c r="V214" i="3"/>
  <c r="U214" i="3"/>
  <c r="T214" i="3"/>
  <c r="S214" i="3"/>
  <c r="R214" i="3"/>
  <c r="Q214" i="3"/>
  <c r="P214" i="3"/>
  <c r="O214" i="3"/>
  <c r="N214" i="3"/>
  <c r="M214" i="3"/>
  <c r="L214" i="3"/>
  <c r="Y213" i="3"/>
  <c r="X213" i="3"/>
  <c r="W213" i="3"/>
  <c r="V213" i="3"/>
  <c r="U213" i="3"/>
  <c r="T213" i="3"/>
  <c r="S213" i="3"/>
  <c r="R213" i="3"/>
  <c r="Q213" i="3"/>
  <c r="P213" i="3"/>
  <c r="O213" i="3"/>
  <c r="N213" i="3"/>
  <c r="M213" i="3"/>
  <c r="L213" i="3"/>
  <c r="Y212" i="3"/>
  <c r="X212" i="3"/>
  <c r="W212" i="3"/>
  <c r="V212" i="3"/>
  <c r="U212" i="3"/>
  <c r="T212" i="3"/>
  <c r="S212" i="3"/>
  <c r="R212" i="3"/>
  <c r="Q212" i="3"/>
  <c r="P212" i="3"/>
  <c r="O212" i="3"/>
  <c r="N212" i="3"/>
  <c r="M212" i="3"/>
  <c r="L212" i="3"/>
  <c r="Y211" i="3"/>
  <c r="X211" i="3"/>
  <c r="W211" i="3"/>
  <c r="V211" i="3"/>
  <c r="U211" i="3"/>
  <c r="T211" i="3"/>
  <c r="S211" i="3"/>
  <c r="R211" i="3"/>
  <c r="Q211" i="3"/>
  <c r="P211" i="3"/>
  <c r="O211" i="3"/>
  <c r="N211" i="3"/>
  <c r="M211" i="3"/>
  <c r="L211" i="3"/>
  <c r="Y210" i="3"/>
  <c r="X210" i="3"/>
  <c r="W210" i="3"/>
  <c r="V210" i="3"/>
  <c r="U210" i="3"/>
  <c r="T210" i="3"/>
  <c r="S210" i="3"/>
  <c r="R210" i="3"/>
  <c r="Q210" i="3"/>
  <c r="P210" i="3"/>
  <c r="O210" i="3"/>
  <c r="N210" i="3"/>
  <c r="M210" i="3"/>
  <c r="L210" i="3"/>
  <c r="Y209" i="3"/>
  <c r="X209" i="3"/>
  <c r="W209" i="3"/>
  <c r="V209" i="3"/>
  <c r="U209" i="3"/>
  <c r="T209" i="3"/>
  <c r="S209" i="3"/>
  <c r="R209" i="3"/>
  <c r="Q209" i="3"/>
  <c r="P209" i="3"/>
  <c r="O209" i="3"/>
  <c r="N209" i="3"/>
  <c r="M209" i="3"/>
  <c r="L209" i="3"/>
  <c r="Y208" i="3"/>
  <c r="X208" i="3"/>
  <c r="W208" i="3"/>
  <c r="V208" i="3"/>
  <c r="U208" i="3"/>
  <c r="T208" i="3"/>
  <c r="S208" i="3"/>
  <c r="R208" i="3"/>
  <c r="Q208" i="3"/>
  <c r="P208" i="3"/>
  <c r="O208" i="3"/>
  <c r="N208" i="3"/>
  <c r="M208" i="3"/>
  <c r="L208" i="3"/>
  <c r="Y207" i="3"/>
  <c r="X207" i="3"/>
  <c r="W207" i="3"/>
  <c r="V207" i="3"/>
  <c r="U207" i="3"/>
  <c r="T207" i="3"/>
  <c r="S207" i="3"/>
  <c r="R207" i="3"/>
  <c r="Q207" i="3"/>
  <c r="P207" i="3"/>
  <c r="O207" i="3"/>
  <c r="N207" i="3"/>
  <c r="M207" i="3"/>
  <c r="L207" i="3"/>
  <c r="Y206" i="3"/>
  <c r="X206" i="3"/>
  <c r="W206" i="3"/>
  <c r="V206" i="3"/>
  <c r="U206" i="3"/>
  <c r="T206" i="3"/>
  <c r="S206" i="3"/>
  <c r="R206" i="3"/>
  <c r="Q206" i="3"/>
  <c r="P206" i="3"/>
  <c r="O206" i="3"/>
  <c r="N206" i="3"/>
  <c r="M206" i="3"/>
  <c r="L206" i="3"/>
  <c r="Y205" i="3"/>
  <c r="X205" i="3"/>
  <c r="W205" i="3"/>
  <c r="V205" i="3"/>
  <c r="U205" i="3"/>
  <c r="T205" i="3"/>
  <c r="S205" i="3"/>
  <c r="R205" i="3"/>
  <c r="Q205" i="3"/>
  <c r="P205" i="3"/>
  <c r="O205" i="3"/>
  <c r="N205" i="3"/>
  <c r="M205" i="3"/>
  <c r="L205" i="3"/>
  <c r="Y204" i="3"/>
  <c r="X204" i="3"/>
  <c r="W204" i="3"/>
  <c r="V204" i="3"/>
  <c r="U204" i="3"/>
  <c r="T204" i="3"/>
  <c r="S204" i="3"/>
  <c r="R204" i="3"/>
  <c r="Q204" i="3"/>
  <c r="P204" i="3"/>
  <c r="O204" i="3"/>
  <c r="N204" i="3"/>
  <c r="M204" i="3"/>
  <c r="L204" i="3"/>
  <c r="Y203" i="3"/>
  <c r="X203" i="3"/>
  <c r="W203" i="3"/>
  <c r="V203" i="3"/>
  <c r="U203" i="3"/>
  <c r="T203" i="3"/>
  <c r="S203" i="3"/>
  <c r="R203" i="3"/>
  <c r="Q203" i="3"/>
  <c r="P203" i="3"/>
  <c r="O203" i="3"/>
  <c r="N203" i="3"/>
  <c r="M203" i="3"/>
  <c r="L203" i="3"/>
  <c r="Y202" i="3"/>
  <c r="X202" i="3"/>
  <c r="W202" i="3"/>
  <c r="V202" i="3"/>
  <c r="U202" i="3"/>
  <c r="T202" i="3"/>
  <c r="S202" i="3"/>
  <c r="R202" i="3"/>
  <c r="Q202" i="3"/>
  <c r="P202" i="3"/>
  <c r="O202" i="3"/>
  <c r="N202" i="3"/>
  <c r="M202" i="3"/>
  <c r="L202" i="3"/>
  <c r="Y201" i="3"/>
  <c r="X201" i="3"/>
  <c r="W201" i="3"/>
  <c r="V201" i="3"/>
  <c r="U201" i="3"/>
  <c r="T201" i="3"/>
  <c r="S201" i="3"/>
  <c r="R201" i="3"/>
  <c r="Q201" i="3"/>
  <c r="P201" i="3"/>
  <c r="O201" i="3"/>
  <c r="N201" i="3"/>
  <c r="M201" i="3"/>
  <c r="L201" i="3"/>
  <c r="Y200" i="3"/>
  <c r="X200" i="3"/>
  <c r="W200" i="3"/>
  <c r="V200" i="3"/>
  <c r="U200" i="3"/>
  <c r="T200" i="3"/>
  <c r="S200" i="3"/>
  <c r="R200" i="3"/>
  <c r="Q200" i="3"/>
  <c r="P200" i="3"/>
  <c r="O200" i="3"/>
  <c r="N200" i="3"/>
  <c r="M200" i="3"/>
  <c r="L200" i="3"/>
  <c r="Y199" i="3"/>
  <c r="X199" i="3"/>
  <c r="W199" i="3"/>
  <c r="V199" i="3"/>
  <c r="U199" i="3"/>
  <c r="T199" i="3"/>
  <c r="S199" i="3"/>
  <c r="R199" i="3"/>
  <c r="Q199" i="3"/>
  <c r="P199" i="3"/>
  <c r="O199" i="3"/>
  <c r="N199" i="3"/>
  <c r="M199" i="3"/>
  <c r="L199" i="3"/>
  <c r="Y198" i="3"/>
  <c r="X198" i="3"/>
  <c r="W198" i="3"/>
  <c r="V198" i="3"/>
  <c r="U198" i="3"/>
  <c r="T198" i="3"/>
  <c r="S198" i="3"/>
  <c r="R198" i="3"/>
  <c r="Q198" i="3"/>
  <c r="P198" i="3"/>
  <c r="O198" i="3"/>
  <c r="N198" i="3"/>
  <c r="M198" i="3"/>
  <c r="L198" i="3"/>
  <c r="Y197" i="3"/>
  <c r="X197" i="3"/>
  <c r="W197" i="3"/>
  <c r="V197" i="3"/>
  <c r="U197" i="3"/>
  <c r="T197" i="3"/>
  <c r="S197" i="3"/>
  <c r="R197" i="3"/>
  <c r="Q197" i="3"/>
  <c r="P197" i="3"/>
  <c r="O197" i="3"/>
  <c r="N197" i="3"/>
  <c r="M197" i="3"/>
  <c r="L197" i="3"/>
  <c r="Y196" i="3"/>
  <c r="X196" i="3"/>
  <c r="W196" i="3"/>
  <c r="V196" i="3"/>
  <c r="U196" i="3"/>
  <c r="T196" i="3"/>
  <c r="S196" i="3"/>
  <c r="R196" i="3"/>
  <c r="Q196" i="3"/>
  <c r="P196" i="3"/>
  <c r="O196" i="3"/>
  <c r="N196" i="3"/>
  <c r="M196" i="3"/>
  <c r="L196" i="3"/>
  <c r="Y195" i="3"/>
  <c r="X195" i="3"/>
  <c r="W195" i="3"/>
  <c r="V195" i="3"/>
  <c r="U195" i="3"/>
  <c r="T195" i="3"/>
  <c r="S195" i="3"/>
  <c r="R195" i="3"/>
  <c r="Q195" i="3"/>
  <c r="P195" i="3"/>
  <c r="O195" i="3"/>
  <c r="N195" i="3"/>
  <c r="M195" i="3"/>
  <c r="L195" i="3"/>
  <c r="Y194" i="3"/>
  <c r="X194" i="3"/>
  <c r="W194" i="3"/>
  <c r="V194" i="3"/>
  <c r="U194" i="3"/>
  <c r="T194" i="3"/>
  <c r="S194" i="3"/>
  <c r="R194" i="3"/>
  <c r="Q194" i="3"/>
  <c r="P194" i="3"/>
  <c r="O194" i="3"/>
  <c r="N194" i="3"/>
  <c r="M194" i="3"/>
  <c r="L194" i="3"/>
  <c r="Y193" i="3"/>
  <c r="X193" i="3"/>
  <c r="W193" i="3"/>
  <c r="V193" i="3"/>
  <c r="U193" i="3"/>
  <c r="T193" i="3"/>
  <c r="S193" i="3"/>
  <c r="R193" i="3"/>
  <c r="Q193" i="3"/>
  <c r="P193" i="3"/>
  <c r="O193" i="3"/>
  <c r="N193" i="3"/>
  <c r="M193" i="3"/>
  <c r="L193" i="3"/>
  <c r="Y192" i="3"/>
  <c r="X192" i="3"/>
  <c r="W192" i="3"/>
  <c r="V192" i="3"/>
  <c r="U192" i="3"/>
  <c r="T192" i="3"/>
  <c r="S192" i="3"/>
  <c r="R192" i="3"/>
  <c r="Q192" i="3"/>
  <c r="P192" i="3"/>
  <c r="O192" i="3"/>
  <c r="N192" i="3"/>
  <c r="M192" i="3"/>
  <c r="L192" i="3"/>
  <c r="Y191" i="3"/>
  <c r="X191" i="3"/>
  <c r="W191" i="3"/>
  <c r="V191" i="3"/>
  <c r="U191" i="3"/>
  <c r="T191" i="3"/>
  <c r="S191" i="3"/>
  <c r="R191" i="3"/>
  <c r="Q191" i="3"/>
  <c r="P191" i="3"/>
  <c r="O191" i="3"/>
  <c r="N191" i="3"/>
  <c r="M191" i="3"/>
  <c r="L191" i="3"/>
  <c r="Y190" i="3"/>
  <c r="X190" i="3"/>
  <c r="W190" i="3"/>
  <c r="V190" i="3"/>
  <c r="U190" i="3"/>
  <c r="T190" i="3"/>
  <c r="S190" i="3"/>
  <c r="R190" i="3"/>
  <c r="Q190" i="3"/>
  <c r="P190" i="3"/>
  <c r="O190" i="3"/>
  <c r="N190" i="3"/>
  <c r="M190" i="3"/>
  <c r="L190" i="3"/>
  <c r="Y189" i="3"/>
  <c r="X189" i="3"/>
  <c r="W189" i="3"/>
  <c r="V189" i="3"/>
  <c r="U189" i="3"/>
  <c r="T189" i="3"/>
  <c r="S189" i="3"/>
  <c r="R189" i="3"/>
  <c r="Q189" i="3"/>
  <c r="P189" i="3"/>
  <c r="O189" i="3"/>
  <c r="N189" i="3"/>
  <c r="M189" i="3"/>
  <c r="L189" i="3"/>
  <c r="Y188" i="3"/>
  <c r="X188" i="3"/>
  <c r="W188" i="3"/>
  <c r="V188" i="3"/>
  <c r="U188" i="3"/>
  <c r="T188" i="3"/>
  <c r="S188" i="3"/>
  <c r="R188" i="3"/>
  <c r="Q188" i="3"/>
  <c r="P188" i="3"/>
  <c r="O188" i="3"/>
  <c r="N188" i="3"/>
  <c r="M188" i="3"/>
  <c r="L188" i="3"/>
  <c r="Y187" i="3"/>
  <c r="X187" i="3"/>
  <c r="W187" i="3"/>
  <c r="V187" i="3"/>
  <c r="U187" i="3"/>
  <c r="T187" i="3"/>
  <c r="S187" i="3"/>
  <c r="R187" i="3"/>
  <c r="Q187" i="3"/>
  <c r="P187" i="3"/>
  <c r="O187" i="3"/>
  <c r="N187" i="3"/>
  <c r="M187" i="3"/>
  <c r="L187" i="3"/>
  <c r="Y186" i="3"/>
  <c r="X186" i="3"/>
  <c r="W186" i="3"/>
  <c r="V186" i="3"/>
  <c r="U186" i="3"/>
  <c r="T186" i="3"/>
  <c r="S186" i="3"/>
  <c r="R186" i="3"/>
  <c r="Q186" i="3"/>
  <c r="P186" i="3"/>
  <c r="O186" i="3"/>
  <c r="N186" i="3"/>
  <c r="M186" i="3"/>
  <c r="L186" i="3"/>
  <c r="Y185" i="3"/>
  <c r="X185" i="3"/>
  <c r="W185" i="3"/>
  <c r="V185" i="3"/>
  <c r="U185" i="3"/>
  <c r="T185" i="3"/>
  <c r="S185" i="3"/>
  <c r="R185" i="3"/>
  <c r="Q185" i="3"/>
  <c r="P185" i="3"/>
  <c r="O185" i="3"/>
  <c r="N185" i="3"/>
  <c r="M185" i="3"/>
  <c r="L185" i="3"/>
  <c r="Y184" i="3"/>
  <c r="X184" i="3"/>
  <c r="W184" i="3"/>
  <c r="V184" i="3"/>
  <c r="U184" i="3"/>
  <c r="T184" i="3"/>
  <c r="S184" i="3"/>
  <c r="R184" i="3"/>
  <c r="Q184" i="3"/>
  <c r="P184" i="3"/>
  <c r="O184" i="3"/>
  <c r="N184" i="3"/>
  <c r="M184" i="3"/>
  <c r="L184" i="3"/>
  <c r="Y183" i="3"/>
  <c r="X183" i="3"/>
  <c r="W183" i="3"/>
  <c r="V183" i="3"/>
  <c r="U183" i="3"/>
  <c r="T183" i="3"/>
  <c r="S183" i="3"/>
  <c r="R183" i="3"/>
  <c r="Q183" i="3"/>
  <c r="P183" i="3"/>
  <c r="O183" i="3"/>
  <c r="N183" i="3"/>
  <c r="M183" i="3"/>
  <c r="L183" i="3"/>
  <c r="Y182" i="3"/>
  <c r="X182" i="3"/>
  <c r="W182" i="3"/>
  <c r="V182" i="3"/>
  <c r="U182" i="3"/>
  <c r="T182" i="3"/>
  <c r="S182" i="3"/>
  <c r="R182" i="3"/>
  <c r="Q182" i="3"/>
  <c r="P182" i="3"/>
  <c r="O182" i="3"/>
  <c r="N182" i="3"/>
  <c r="M182" i="3"/>
  <c r="L182" i="3"/>
  <c r="Y181" i="3"/>
  <c r="X181" i="3"/>
  <c r="W181" i="3"/>
  <c r="V181" i="3"/>
  <c r="U181" i="3"/>
  <c r="T181" i="3"/>
  <c r="S181" i="3"/>
  <c r="R181" i="3"/>
  <c r="Q181" i="3"/>
  <c r="P181" i="3"/>
  <c r="O181" i="3"/>
  <c r="N181" i="3"/>
  <c r="M181" i="3"/>
  <c r="L181" i="3"/>
  <c r="Y180" i="3"/>
  <c r="X180" i="3"/>
  <c r="W180" i="3"/>
  <c r="V180" i="3"/>
  <c r="U180" i="3"/>
  <c r="T180" i="3"/>
  <c r="S180" i="3"/>
  <c r="R180" i="3"/>
  <c r="Q180" i="3"/>
  <c r="P180" i="3"/>
  <c r="O180" i="3"/>
  <c r="N180" i="3"/>
  <c r="M180" i="3"/>
  <c r="L180" i="3"/>
  <c r="Y179" i="3"/>
  <c r="X179" i="3"/>
  <c r="W179" i="3"/>
  <c r="V179" i="3"/>
  <c r="U179" i="3"/>
  <c r="T179" i="3"/>
  <c r="S179" i="3"/>
  <c r="R179" i="3"/>
  <c r="Q179" i="3"/>
  <c r="P179" i="3"/>
  <c r="O179" i="3"/>
  <c r="N179" i="3"/>
  <c r="M179" i="3"/>
  <c r="L179" i="3"/>
  <c r="Y178" i="3"/>
  <c r="X178" i="3"/>
  <c r="W178" i="3"/>
  <c r="V178" i="3"/>
  <c r="U178" i="3"/>
  <c r="T178" i="3"/>
  <c r="S178" i="3"/>
  <c r="R178" i="3"/>
  <c r="Q178" i="3"/>
  <c r="P178" i="3"/>
  <c r="O178" i="3"/>
  <c r="N178" i="3"/>
  <c r="M178" i="3"/>
  <c r="L178" i="3"/>
  <c r="Y177" i="3"/>
  <c r="X177" i="3"/>
  <c r="W177" i="3"/>
  <c r="V177" i="3"/>
  <c r="U177" i="3"/>
  <c r="T177" i="3"/>
  <c r="S177" i="3"/>
  <c r="R177" i="3"/>
  <c r="Q177" i="3"/>
  <c r="P177" i="3"/>
  <c r="O177" i="3"/>
  <c r="N177" i="3"/>
  <c r="M177" i="3"/>
  <c r="L177" i="3"/>
  <c r="Y176" i="3"/>
  <c r="X176" i="3"/>
  <c r="W176" i="3"/>
  <c r="V176" i="3"/>
  <c r="U176" i="3"/>
  <c r="T176" i="3"/>
  <c r="S176" i="3"/>
  <c r="R176" i="3"/>
  <c r="Q176" i="3"/>
  <c r="P176" i="3"/>
  <c r="O176" i="3"/>
  <c r="N176" i="3"/>
  <c r="M176" i="3"/>
  <c r="L176" i="3"/>
  <c r="Y175" i="3"/>
  <c r="X175" i="3"/>
  <c r="W175" i="3"/>
  <c r="V175" i="3"/>
  <c r="U175" i="3"/>
  <c r="T175" i="3"/>
  <c r="S175" i="3"/>
  <c r="R175" i="3"/>
  <c r="Q175" i="3"/>
  <c r="P175" i="3"/>
  <c r="O175" i="3"/>
  <c r="N175" i="3"/>
  <c r="M175" i="3"/>
  <c r="L175" i="3"/>
  <c r="Y174" i="3"/>
  <c r="X174" i="3"/>
  <c r="W174" i="3"/>
  <c r="V174" i="3"/>
  <c r="U174" i="3"/>
  <c r="T174" i="3"/>
  <c r="S174" i="3"/>
  <c r="R174" i="3"/>
  <c r="Q174" i="3"/>
  <c r="P174" i="3"/>
  <c r="O174" i="3"/>
  <c r="N174" i="3"/>
  <c r="M174" i="3"/>
  <c r="L174" i="3"/>
  <c r="Y173" i="3"/>
  <c r="X173" i="3"/>
  <c r="W173" i="3"/>
  <c r="V173" i="3"/>
  <c r="U173" i="3"/>
  <c r="T173" i="3"/>
  <c r="S173" i="3"/>
  <c r="R173" i="3"/>
  <c r="Q173" i="3"/>
  <c r="P173" i="3"/>
  <c r="O173" i="3"/>
  <c r="N173" i="3"/>
  <c r="M173" i="3"/>
  <c r="L173" i="3"/>
  <c r="Y172" i="3"/>
  <c r="X172" i="3"/>
  <c r="W172" i="3"/>
  <c r="V172" i="3"/>
  <c r="U172" i="3"/>
  <c r="T172" i="3"/>
  <c r="S172" i="3"/>
  <c r="R172" i="3"/>
  <c r="Q172" i="3"/>
  <c r="P172" i="3"/>
  <c r="O172" i="3"/>
  <c r="N172" i="3"/>
  <c r="M172" i="3"/>
  <c r="L172" i="3"/>
  <c r="Y171" i="3"/>
  <c r="X171" i="3"/>
  <c r="W171" i="3"/>
  <c r="V171" i="3"/>
  <c r="U171" i="3"/>
  <c r="T171" i="3"/>
  <c r="S171" i="3"/>
  <c r="R171" i="3"/>
  <c r="Q171" i="3"/>
  <c r="P171" i="3"/>
  <c r="O171" i="3"/>
  <c r="N171" i="3"/>
  <c r="M171" i="3"/>
  <c r="L171" i="3"/>
  <c r="Y170" i="3"/>
  <c r="X170" i="3"/>
  <c r="W170" i="3"/>
  <c r="V170" i="3"/>
  <c r="U170" i="3"/>
  <c r="T170" i="3"/>
  <c r="S170" i="3"/>
  <c r="R170" i="3"/>
  <c r="Q170" i="3"/>
  <c r="P170" i="3"/>
  <c r="O170" i="3"/>
  <c r="N170" i="3"/>
  <c r="M170" i="3"/>
  <c r="L170" i="3"/>
  <c r="Y169" i="3"/>
  <c r="X169" i="3"/>
  <c r="W169" i="3"/>
  <c r="V169" i="3"/>
  <c r="U169" i="3"/>
  <c r="T169" i="3"/>
  <c r="S169" i="3"/>
  <c r="R169" i="3"/>
  <c r="Q169" i="3"/>
  <c r="P169" i="3"/>
  <c r="O169" i="3"/>
  <c r="N169" i="3"/>
  <c r="M169" i="3"/>
  <c r="L169" i="3"/>
  <c r="Y168" i="3"/>
  <c r="X168" i="3"/>
  <c r="W168" i="3"/>
  <c r="V168" i="3"/>
  <c r="U168" i="3"/>
  <c r="T168" i="3"/>
  <c r="S168" i="3"/>
  <c r="R168" i="3"/>
  <c r="Q168" i="3"/>
  <c r="P168" i="3"/>
  <c r="O168" i="3"/>
  <c r="N168" i="3"/>
  <c r="M168" i="3"/>
  <c r="L168" i="3"/>
  <c r="Y167" i="3"/>
  <c r="X167" i="3"/>
  <c r="W167" i="3"/>
  <c r="V167" i="3"/>
  <c r="U167" i="3"/>
  <c r="T167" i="3"/>
  <c r="S167" i="3"/>
  <c r="R167" i="3"/>
  <c r="Q167" i="3"/>
  <c r="P167" i="3"/>
  <c r="O167" i="3"/>
  <c r="N167" i="3"/>
  <c r="M167" i="3"/>
  <c r="L167" i="3"/>
  <c r="Y166" i="3"/>
  <c r="X166" i="3"/>
  <c r="W166" i="3"/>
  <c r="V166" i="3"/>
  <c r="U166" i="3"/>
  <c r="T166" i="3"/>
  <c r="S166" i="3"/>
  <c r="R166" i="3"/>
  <c r="Q166" i="3"/>
  <c r="P166" i="3"/>
  <c r="O166" i="3"/>
  <c r="N166" i="3"/>
  <c r="M166" i="3"/>
  <c r="L166" i="3"/>
  <c r="Y165" i="3"/>
  <c r="X165" i="3"/>
  <c r="W165" i="3"/>
  <c r="V165" i="3"/>
  <c r="U165" i="3"/>
  <c r="T165" i="3"/>
  <c r="S165" i="3"/>
  <c r="R165" i="3"/>
  <c r="Q165" i="3"/>
  <c r="P165" i="3"/>
  <c r="O165" i="3"/>
  <c r="N165" i="3"/>
  <c r="M165" i="3"/>
  <c r="L165" i="3"/>
  <c r="Y164" i="3"/>
  <c r="X164" i="3"/>
  <c r="W164" i="3"/>
  <c r="V164" i="3"/>
  <c r="U164" i="3"/>
  <c r="T164" i="3"/>
  <c r="S164" i="3"/>
  <c r="R164" i="3"/>
  <c r="Q164" i="3"/>
  <c r="P164" i="3"/>
  <c r="O164" i="3"/>
  <c r="N164" i="3"/>
  <c r="M164" i="3"/>
  <c r="L164" i="3"/>
  <c r="Y163" i="3"/>
  <c r="X163" i="3"/>
  <c r="W163" i="3"/>
  <c r="V163" i="3"/>
  <c r="U163" i="3"/>
  <c r="T163" i="3"/>
  <c r="S163" i="3"/>
  <c r="R163" i="3"/>
  <c r="Q163" i="3"/>
  <c r="P163" i="3"/>
  <c r="O163" i="3"/>
  <c r="N163" i="3"/>
  <c r="M163" i="3"/>
  <c r="L163" i="3"/>
  <c r="Y162" i="3"/>
  <c r="X162" i="3"/>
  <c r="W162" i="3"/>
  <c r="V162" i="3"/>
  <c r="U162" i="3"/>
  <c r="T162" i="3"/>
  <c r="S162" i="3"/>
  <c r="R162" i="3"/>
  <c r="Q162" i="3"/>
  <c r="P162" i="3"/>
  <c r="O162" i="3"/>
  <c r="N162" i="3"/>
  <c r="M162" i="3"/>
  <c r="L162" i="3"/>
  <c r="Y161" i="3"/>
  <c r="X161" i="3"/>
  <c r="W161" i="3"/>
  <c r="V161" i="3"/>
  <c r="U161" i="3"/>
  <c r="T161" i="3"/>
  <c r="S161" i="3"/>
  <c r="R161" i="3"/>
  <c r="Q161" i="3"/>
  <c r="P161" i="3"/>
  <c r="O161" i="3"/>
  <c r="N161" i="3"/>
  <c r="M161" i="3"/>
  <c r="L161" i="3"/>
  <c r="Y160" i="3"/>
  <c r="X160" i="3"/>
  <c r="W160" i="3"/>
  <c r="V160" i="3"/>
  <c r="U160" i="3"/>
  <c r="T160" i="3"/>
  <c r="S160" i="3"/>
  <c r="R160" i="3"/>
  <c r="Q160" i="3"/>
  <c r="P160" i="3"/>
  <c r="O160" i="3"/>
  <c r="N160" i="3"/>
  <c r="M160" i="3"/>
  <c r="L160" i="3"/>
  <c r="Y159" i="3"/>
  <c r="X159" i="3"/>
  <c r="W159" i="3"/>
  <c r="V159" i="3"/>
  <c r="U159" i="3"/>
  <c r="T159" i="3"/>
  <c r="S159" i="3"/>
  <c r="R159" i="3"/>
  <c r="Q159" i="3"/>
  <c r="P159" i="3"/>
  <c r="O159" i="3"/>
  <c r="N159" i="3"/>
  <c r="M159" i="3"/>
  <c r="L159" i="3"/>
  <c r="Y158" i="3"/>
  <c r="X158" i="3"/>
  <c r="W158" i="3"/>
  <c r="V158" i="3"/>
  <c r="U158" i="3"/>
  <c r="T158" i="3"/>
  <c r="S158" i="3"/>
  <c r="R158" i="3"/>
  <c r="Q158" i="3"/>
  <c r="P158" i="3"/>
  <c r="O158" i="3"/>
  <c r="N158" i="3"/>
  <c r="M158" i="3"/>
  <c r="L158" i="3"/>
  <c r="Y157" i="3"/>
  <c r="X157" i="3"/>
  <c r="W157" i="3"/>
  <c r="V157" i="3"/>
  <c r="U157" i="3"/>
  <c r="T157" i="3"/>
  <c r="S157" i="3"/>
  <c r="R157" i="3"/>
  <c r="Q157" i="3"/>
  <c r="P157" i="3"/>
  <c r="O157" i="3"/>
  <c r="N157" i="3"/>
  <c r="M157" i="3"/>
  <c r="L157" i="3"/>
  <c r="Y156" i="3"/>
  <c r="X156" i="3"/>
  <c r="W156" i="3"/>
  <c r="V156" i="3"/>
  <c r="U156" i="3"/>
  <c r="T156" i="3"/>
  <c r="S156" i="3"/>
  <c r="R156" i="3"/>
  <c r="Q156" i="3"/>
  <c r="P156" i="3"/>
  <c r="O156" i="3"/>
  <c r="N156" i="3"/>
  <c r="M156" i="3"/>
  <c r="L156" i="3"/>
  <c r="Y155" i="3"/>
  <c r="X155" i="3"/>
  <c r="W155" i="3"/>
  <c r="V155" i="3"/>
  <c r="U155" i="3"/>
  <c r="T155" i="3"/>
  <c r="S155" i="3"/>
  <c r="R155" i="3"/>
  <c r="Q155" i="3"/>
  <c r="P155" i="3"/>
  <c r="O155" i="3"/>
  <c r="N155" i="3"/>
  <c r="M155" i="3"/>
  <c r="L155" i="3"/>
  <c r="Y154" i="3"/>
  <c r="X154" i="3"/>
  <c r="W154" i="3"/>
  <c r="V154" i="3"/>
  <c r="U154" i="3"/>
  <c r="T154" i="3"/>
  <c r="S154" i="3"/>
  <c r="R154" i="3"/>
  <c r="Q154" i="3"/>
  <c r="P154" i="3"/>
  <c r="O154" i="3"/>
  <c r="N154" i="3"/>
  <c r="M154" i="3"/>
  <c r="L154" i="3"/>
  <c r="Y153" i="3"/>
  <c r="X153" i="3"/>
  <c r="W153" i="3"/>
  <c r="V153" i="3"/>
  <c r="U153" i="3"/>
  <c r="T153" i="3"/>
  <c r="S153" i="3"/>
  <c r="R153" i="3"/>
  <c r="Q153" i="3"/>
  <c r="P153" i="3"/>
  <c r="O153" i="3"/>
  <c r="N153" i="3"/>
  <c r="M153" i="3"/>
  <c r="L153" i="3"/>
  <c r="Y152" i="3"/>
  <c r="X152" i="3"/>
  <c r="W152" i="3"/>
  <c r="V152" i="3"/>
  <c r="U152" i="3"/>
  <c r="T152" i="3"/>
  <c r="S152" i="3"/>
  <c r="R152" i="3"/>
  <c r="Q152" i="3"/>
  <c r="P152" i="3"/>
  <c r="O152" i="3"/>
  <c r="N152" i="3"/>
  <c r="M152" i="3"/>
  <c r="L152" i="3"/>
  <c r="Y151" i="3"/>
  <c r="X151" i="3"/>
  <c r="W151" i="3"/>
  <c r="V151" i="3"/>
  <c r="U151" i="3"/>
  <c r="T151" i="3"/>
  <c r="S151" i="3"/>
  <c r="R151" i="3"/>
  <c r="Q151" i="3"/>
  <c r="P151" i="3"/>
  <c r="O151" i="3"/>
  <c r="N151" i="3"/>
  <c r="M151" i="3"/>
  <c r="L151" i="3"/>
  <c r="Y150" i="3"/>
  <c r="X150" i="3"/>
  <c r="W150" i="3"/>
  <c r="V150" i="3"/>
  <c r="U150" i="3"/>
  <c r="T150" i="3"/>
  <c r="S150" i="3"/>
  <c r="R150" i="3"/>
  <c r="Q150" i="3"/>
  <c r="P150" i="3"/>
  <c r="O150" i="3"/>
  <c r="N150" i="3"/>
  <c r="M150" i="3"/>
  <c r="L150" i="3"/>
  <c r="Y149" i="3"/>
  <c r="X149" i="3"/>
  <c r="W149" i="3"/>
  <c r="V149" i="3"/>
  <c r="U149" i="3"/>
  <c r="T149" i="3"/>
  <c r="S149" i="3"/>
  <c r="R149" i="3"/>
  <c r="Q149" i="3"/>
  <c r="P149" i="3"/>
  <c r="O149" i="3"/>
  <c r="N149" i="3"/>
  <c r="M149" i="3"/>
  <c r="L149" i="3"/>
  <c r="Y148" i="3"/>
  <c r="X148" i="3"/>
  <c r="W148" i="3"/>
  <c r="V148" i="3"/>
  <c r="U148" i="3"/>
  <c r="T148" i="3"/>
  <c r="S148" i="3"/>
  <c r="R148" i="3"/>
  <c r="Q148" i="3"/>
  <c r="P148" i="3"/>
  <c r="O148" i="3"/>
  <c r="N148" i="3"/>
  <c r="M148" i="3"/>
  <c r="L148" i="3"/>
  <c r="Y147" i="3"/>
  <c r="X147" i="3"/>
  <c r="W147" i="3"/>
  <c r="V147" i="3"/>
  <c r="U147" i="3"/>
  <c r="T147" i="3"/>
  <c r="S147" i="3"/>
  <c r="R147" i="3"/>
  <c r="Q147" i="3"/>
  <c r="P147" i="3"/>
  <c r="O147" i="3"/>
  <c r="N147" i="3"/>
  <c r="M147" i="3"/>
  <c r="L147" i="3"/>
  <c r="Y146" i="3"/>
  <c r="X146" i="3"/>
  <c r="W146" i="3"/>
  <c r="V146" i="3"/>
  <c r="U146" i="3"/>
  <c r="T146" i="3"/>
  <c r="S146" i="3"/>
  <c r="R146" i="3"/>
  <c r="Q146" i="3"/>
  <c r="P146" i="3"/>
  <c r="O146" i="3"/>
  <c r="N146" i="3"/>
  <c r="M146" i="3"/>
  <c r="L146" i="3"/>
  <c r="Y145" i="3"/>
  <c r="X145" i="3"/>
  <c r="W145" i="3"/>
  <c r="V145" i="3"/>
  <c r="U145" i="3"/>
  <c r="T145" i="3"/>
  <c r="S145" i="3"/>
  <c r="R145" i="3"/>
  <c r="Q145" i="3"/>
  <c r="P145" i="3"/>
  <c r="O145" i="3"/>
  <c r="N145" i="3"/>
  <c r="M145" i="3"/>
  <c r="L145" i="3"/>
  <c r="Y144" i="3"/>
  <c r="X144" i="3"/>
  <c r="W144" i="3"/>
  <c r="V144" i="3"/>
  <c r="U144" i="3"/>
  <c r="T144" i="3"/>
  <c r="S144" i="3"/>
  <c r="R144" i="3"/>
  <c r="Q144" i="3"/>
  <c r="P144" i="3"/>
  <c r="O144" i="3"/>
  <c r="N144" i="3"/>
  <c r="M144" i="3"/>
  <c r="L144" i="3"/>
  <c r="Y143" i="3"/>
  <c r="X143" i="3"/>
  <c r="W143" i="3"/>
  <c r="V143" i="3"/>
  <c r="U143" i="3"/>
  <c r="T143" i="3"/>
  <c r="S143" i="3"/>
  <c r="R143" i="3"/>
  <c r="Q143" i="3"/>
  <c r="P143" i="3"/>
  <c r="O143" i="3"/>
  <c r="N143" i="3"/>
  <c r="M143" i="3"/>
  <c r="L143" i="3"/>
  <c r="Y142" i="3"/>
  <c r="X142" i="3"/>
  <c r="W142" i="3"/>
  <c r="V142" i="3"/>
  <c r="U142" i="3"/>
  <c r="T142" i="3"/>
  <c r="S142" i="3"/>
  <c r="R142" i="3"/>
  <c r="Q142" i="3"/>
  <c r="P142" i="3"/>
  <c r="O142" i="3"/>
  <c r="N142" i="3"/>
  <c r="M142" i="3"/>
  <c r="L142" i="3"/>
  <c r="Y141" i="3"/>
  <c r="X141" i="3"/>
  <c r="W141" i="3"/>
  <c r="V141" i="3"/>
  <c r="U141" i="3"/>
  <c r="T141" i="3"/>
  <c r="S141" i="3"/>
  <c r="R141" i="3"/>
  <c r="Q141" i="3"/>
  <c r="P141" i="3"/>
  <c r="O141" i="3"/>
  <c r="N141" i="3"/>
  <c r="M141" i="3"/>
  <c r="L141" i="3"/>
  <c r="Y140" i="3"/>
  <c r="X140" i="3"/>
  <c r="W140" i="3"/>
  <c r="V140" i="3"/>
  <c r="U140" i="3"/>
  <c r="T140" i="3"/>
  <c r="S140" i="3"/>
  <c r="R140" i="3"/>
  <c r="Q140" i="3"/>
  <c r="P140" i="3"/>
  <c r="O140" i="3"/>
  <c r="N140" i="3"/>
  <c r="M140" i="3"/>
  <c r="L140" i="3"/>
  <c r="Y139" i="3"/>
  <c r="X139" i="3"/>
  <c r="W139" i="3"/>
  <c r="V139" i="3"/>
  <c r="U139" i="3"/>
  <c r="T139" i="3"/>
  <c r="S139" i="3"/>
  <c r="R139" i="3"/>
  <c r="Q139" i="3"/>
  <c r="P139" i="3"/>
  <c r="O139" i="3"/>
  <c r="N139" i="3"/>
  <c r="M139" i="3"/>
  <c r="L139" i="3"/>
  <c r="Y138" i="3"/>
  <c r="X138" i="3"/>
  <c r="W138" i="3"/>
  <c r="V138" i="3"/>
  <c r="U138" i="3"/>
  <c r="T138" i="3"/>
  <c r="S138" i="3"/>
  <c r="R138" i="3"/>
  <c r="Q138" i="3"/>
  <c r="P138" i="3"/>
  <c r="O138" i="3"/>
  <c r="N138" i="3"/>
  <c r="M138" i="3"/>
  <c r="L138" i="3"/>
  <c r="Y137" i="3"/>
  <c r="X137" i="3"/>
  <c r="W137" i="3"/>
  <c r="V137" i="3"/>
  <c r="U137" i="3"/>
  <c r="T137" i="3"/>
  <c r="S137" i="3"/>
  <c r="R137" i="3"/>
  <c r="Q137" i="3"/>
  <c r="P137" i="3"/>
  <c r="O137" i="3"/>
  <c r="N137" i="3"/>
  <c r="M137" i="3"/>
  <c r="L137" i="3"/>
  <c r="Y136" i="3"/>
  <c r="X136" i="3"/>
  <c r="W136" i="3"/>
  <c r="V136" i="3"/>
  <c r="U136" i="3"/>
  <c r="T136" i="3"/>
  <c r="S136" i="3"/>
  <c r="R136" i="3"/>
  <c r="Q136" i="3"/>
  <c r="P136" i="3"/>
  <c r="O136" i="3"/>
  <c r="N136" i="3"/>
  <c r="M136" i="3"/>
  <c r="L136" i="3"/>
  <c r="Y135" i="3"/>
  <c r="X135" i="3"/>
  <c r="W135" i="3"/>
  <c r="V135" i="3"/>
  <c r="U135" i="3"/>
  <c r="T135" i="3"/>
  <c r="S135" i="3"/>
  <c r="R135" i="3"/>
  <c r="Q135" i="3"/>
  <c r="P135" i="3"/>
  <c r="O135" i="3"/>
  <c r="N135" i="3"/>
  <c r="M135" i="3"/>
  <c r="L135" i="3"/>
  <c r="Y134" i="3"/>
  <c r="X134" i="3"/>
  <c r="W134" i="3"/>
  <c r="V134" i="3"/>
  <c r="U134" i="3"/>
  <c r="T134" i="3"/>
  <c r="S134" i="3"/>
  <c r="R134" i="3"/>
  <c r="Q134" i="3"/>
  <c r="P134" i="3"/>
  <c r="O134" i="3"/>
  <c r="N134" i="3"/>
  <c r="M134" i="3"/>
  <c r="L134" i="3"/>
  <c r="Y133" i="3"/>
  <c r="X133" i="3"/>
  <c r="W133" i="3"/>
  <c r="V133" i="3"/>
  <c r="U133" i="3"/>
  <c r="T133" i="3"/>
  <c r="S133" i="3"/>
  <c r="R133" i="3"/>
  <c r="Q133" i="3"/>
  <c r="P133" i="3"/>
  <c r="O133" i="3"/>
  <c r="N133" i="3"/>
  <c r="M133" i="3"/>
  <c r="L133" i="3"/>
  <c r="Y132" i="3"/>
  <c r="X132" i="3"/>
  <c r="W132" i="3"/>
  <c r="V132" i="3"/>
  <c r="U132" i="3"/>
  <c r="T132" i="3"/>
  <c r="S132" i="3"/>
  <c r="R132" i="3"/>
  <c r="Q132" i="3"/>
  <c r="P132" i="3"/>
  <c r="O132" i="3"/>
  <c r="N132" i="3"/>
  <c r="M132" i="3"/>
  <c r="L132" i="3"/>
  <c r="Y131" i="3"/>
  <c r="X131" i="3"/>
  <c r="W131" i="3"/>
  <c r="V131" i="3"/>
  <c r="U131" i="3"/>
  <c r="T131" i="3"/>
  <c r="S131" i="3"/>
  <c r="R131" i="3"/>
  <c r="Q131" i="3"/>
  <c r="P131" i="3"/>
  <c r="O131" i="3"/>
  <c r="N131" i="3"/>
  <c r="M131" i="3"/>
  <c r="L131" i="3"/>
  <c r="Y130" i="3"/>
  <c r="X130" i="3"/>
  <c r="W130" i="3"/>
  <c r="V130" i="3"/>
  <c r="U130" i="3"/>
  <c r="T130" i="3"/>
  <c r="S130" i="3"/>
  <c r="R130" i="3"/>
  <c r="Q130" i="3"/>
  <c r="P130" i="3"/>
  <c r="O130" i="3"/>
  <c r="N130" i="3"/>
  <c r="M130" i="3"/>
  <c r="L130" i="3"/>
  <c r="Y129" i="3"/>
  <c r="X129" i="3"/>
  <c r="W129" i="3"/>
  <c r="V129" i="3"/>
  <c r="U129" i="3"/>
  <c r="T129" i="3"/>
  <c r="S129" i="3"/>
  <c r="R129" i="3"/>
  <c r="Q129" i="3"/>
  <c r="P129" i="3"/>
  <c r="O129" i="3"/>
  <c r="N129" i="3"/>
  <c r="M129" i="3"/>
  <c r="L129" i="3"/>
  <c r="Y128" i="3"/>
  <c r="X128" i="3"/>
  <c r="W128" i="3"/>
  <c r="V128" i="3"/>
  <c r="U128" i="3"/>
  <c r="T128" i="3"/>
  <c r="S128" i="3"/>
  <c r="R128" i="3"/>
  <c r="Q128" i="3"/>
  <c r="P128" i="3"/>
  <c r="O128" i="3"/>
  <c r="N128" i="3"/>
  <c r="M128" i="3"/>
  <c r="L128" i="3"/>
  <c r="Y127" i="3"/>
  <c r="X127" i="3"/>
  <c r="W127" i="3"/>
  <c r="V127" i="3"/>
  <c r="U127" i="3"/>
  <c r="T127" i="3"/>
  <c r="S127" i="3"/>
  <c r="R127" i="3"/>
  <c r="Q127" i="3"/>
  <c r="P127" i="3"/>
  <c r="O127" i="3"/>
  <c r="N127" i="3"/>
  <c r="M127" i="3"/>
  <c r="L127" i="3"/>
  <c r="Y126" i="3"/>
  <c r="X126" i="3"/>
  <c r="W126" i="3"/>
  <c r="V126" i="3"/>
  <c r="U126" i="3"/>
  <c r="T126" i="3"/>
  <c r="S126" i="3"/>
  <c r="R126" i="3"/>
  <c r="Q126" i="3"/>
  <c r="P126" i="3"/>
  <c r="O126" i="3"/>
  <c r="N126" i="3"/>
  <c r="M126" i="3"/>
  <c r="L126" i="3"/>
  <c r="Y125" i="3"/>
  <c r="X125" i="3"/>
  <c r="W125" i="3"/>
  <c r="V125" i="3"/>
  <c r="U125" i="3"/>
  <c r="T125" i="3"/>
  <c r="S125" i="3"/>
  <c r="R125" i="3"/>
  <c r="Q125" i="3"/>
  <c r="P125" i="3"/>
  <c r="O125" i="3"/>
  <c r="N125" i="3"/>
  <c r="M125" i="3"/>
  <c r="L125" i="3"/>
  <c r="Y124" i="3"/>
  <c r="X124" i="3"/>
  <c r="W124" i="3"/>
  <c r="V124" i="3"/>
  <c r="U124" i="3"/>
  <c r="T124" i="3"/>
  <c r="S124" i="3"/>
  <c r="R124" i="3"/>
  <c r="Q124" i="3"/>
  <c r="P124" i="3"/>
  <c r="O124" i="3"/>
  <c r="N124" i="3"/>
  <c r="M124" i="3"/>
  <c r="L124" i="3"/>
  <c r="Y123" i="3"/>
  <c r="X123" i="3"/>
  <c r="W123" i="3"/>
  <c r="V123" i="3"/>
  <c r="U123" i="3"/>
  <c r="T123" i="3"/>
  <c r="S123" i="3"/>
  <c r="R123" i="3"/>
  <c r="Q123" i="3"/>
  <c r="P123" i="3"/>
  <c r="O123" i="3"/>
  <c r="N123" i="3"/>
  <c r="M123" i="3"/>
  <c r="L123" i="3"/>
  <c r="Y122" i="3"/>
  <c r="X122" i="3"/>
  <c r="W122" i="3"/>
  <c r="V122" i="3"/>
  <c r="U122" i="3"/>
  <c r="T122" i="3"/>
  <c r="S122" i="3"/>
  <c r="R122" i="3"/>
  <c r="Q122" i="3"/>
  <c r="P122" i="3"/>
  <c r="O122" i="3"/>
  <c r="N122" i="3"/>
  <c r="M122" i="3"/>
  <c r="L122" i="3"/>
  <c r="Y121" i="3"/>
  <c r="X121" i="3"/>
  <c r="W121" i="3"/>
  <c r="V121" i="3"/>
  <c r="U121" i="3"/>
  <c r="T121" i="3"/>
  <c r="S121" i="3"/>
  <c r="R121" i="3"/>
  <c r="Q121" i="3"/>
  <c r="P121" i="3"/>
  <c r="O121" i="3"/>
  <c r="N121" i="3"/>
  <c r="M121" i="3"/>
  <c r="L121" i="3"/>
  <c r="Y120" i="3"/>
  <c r="X120" i="3"/>
  <c r="W120" i="3"/>
  <c r="V120" i="3"/>
  <c r="U120" i="3"/>
  <c r="T120" i="3"/>
  <c r="S120" i="3"/>
  <c r="R120" i="3"/>
  <c r="Q120" i="3"/>
  <c r="P120" i="3"/>
  <c r="O120" i="3"/>
  <c r="N120" i="3"/>
  <c r="M120" i="3"/>
  <c r="L120" i="3"/>
  <c r="Y119" i="3"/>
  <c r="X119" i="3"/>
  <c r="W119" i="3"/>
  <c r="V119" i="3"/>
  <c r="U119" i="3"/>
  <c r="T119" i="3"/>
  <c r="S119" i="3"/>
  <c r="R119" i="3"/>
  <c r="Q119" i="3"/>
  <c r="P119" i="3"/>
  <c r="O119" i="3"/>
  <c r="N119" i="3"/>
  <c r="M119" i="3"/>
  <c r="L119" i="3"/>
  <c r="Y118" i="3"/>
  <c r="X118" i="3"/>
  <c r="W118" i="3"/>
  <c r="V118" i="3"/>
  <c r="U118" i="3"/>
  <c r="T118" i="3"/>
  <c r="S118" i="3"/>
  <c r="R118" i="3"/>
  <c r="Q118" i="3"/>
  <c r="P118" i="3"/>
  <c r="O118" i="3"/>
  <c r="N118" i="3"/>
  <c r="M118" i="3"/>
  <c r="L118" i="3"/>
  <c r="Y117" i="3"/>
  <c r="X117" i="3"/>
  <c r="W117" i="3"/>
  <c r="V117" i="3"/>
  <c r="U117" i="3"/>
  <c r="T117" i="3"/>
  <c r="S117" i="3"/>
  <c r="R117" i="3"/>
  <c r="Q117" i="3"/>
  <c r="P117" i="3"/>
  <c r="O117" i="3"/>
  <c r="N117" i="3"/>
  <c r="M117" i="3"/>
  <c r="L117" i="3"/>
  <c r="Y116" i="3"/>
  <c r="X116" i="3"/>
  <c r="W116" i="3"/>
  <c r="V116" i="3"/>
  <c r="U116" i="3"/>
  <c r="T116" i="3"/>
  <c r="S116" i="3"/>
  <c r="R116" i="3"/>
  <c r="Q116" i="3"/>
  <c r="P116" i="3"/>
  <c r="O116" i="3"/>
  <c r="N116" i="3"/>
  <c r="M116" i="3"/>
  <c r="L116" i="3"/>
  <c r="Y115" i="3"/>
  <c r="X115" i="3"/>
  <c r="W115" i="3"/>
  <c r="V115" i="3"/>
  <c r="U115" i="3"/>
  <c r="T115" i="3"/>
  <c r="S115" i="3"/>
  <c r="R115" i="3"/>
  <c r="Q115" i="3"/>
  <c r="P115" i="3"/>
  <c r="O115" i="3"/>
  <c r="N115" i="3"/>
  <c r="M115" i="3"/>
  <c r="L115" i="3"/>
  <c r="Y114" i="3"/>
  <c r="X114" i="3"/>
  <c r="W114" i="3"/>
  <c r="V114" i="3"/>
  <c r="U114" i="3"/>
  <c r="T114" i="3"/>
  <c r="S114" i="3"/>
  <c r="R114" i="3"/>
  <c r="Q114" i="3"/>
  <c r="P114" i="3"/>
  <c r="O114" i="3"/>
  <c r="N114" i="3"/>
  <c r="M114" i="3"/>
  <c r="L114" i="3"/>
  <c r="Y113" i="3"/>
  <c r="X113" i="3"/>
  <c r="W113" i="3"/>
  <c r="V113" i="3"/>
  <c r="U113" i="3"/>
  <c r="T113" i="3"/>
  <c r="S113" i="3"/>
  <c r="R113" i="3"/>
  <c r="Q113" i="3"/>
  <c r="P113" i="3"/>
  <c r="O113" i="3"/>
  <c r="N113" i="3"/>
  <c r="M113" i="3"/>
  <c r="L113" i="3"/>
  <c r="Y112" i="3"/>
  <c r="X112" i="3"/>
  <c r="W112" i="3"/>
  <c r="V112" i="3"/>
  <c r="U112" i="3"/>
  <c r="T112" i="3"/>
  <c r="S112" i="3"/>
  <c r="R112" i="3"/>
  <c r="Q112" i="3"/>
  <c r="P112" i="3"/>
  <c r="O112" i="3"/>
  <c r="N112" i="3"/>
  <c r="M112" i="3"/>
  <c r="L112" i="3"/>
  <c r="Y111" i="3"/>
  <c r="X111" i="3"/>
  <c r="W111" i="3"/>
  <c r="V111" i="3"/>
  <c r="U111" i="3"/>
  <c r="T111" i="3"/>
  <c r="S111" i="3"/>
  <c r="R111" i="3"/>
  <c r="Q111" i="3"/>
  <c r="P111" i="3"/>
  <c r="O111" i="3"/>
  <c r="N111" i="3"/>
  <c r="M111" i="3"/>
  <c r="L111" i="3"/>
  <c r="Y110" i="3"/>
  <c r="X110" i="3"/>
  <c r="W110" i="3"/>
  <c r="V110" i="3"/>
  <c r="U110" i="3"/>
  <c r="T110" i="3"/>
  <c r="S110" i="3"/>
  <c r="R110" i="3"/>
  <c r="Q110" i="3"/>
  <c r="P110" i="3"/>
  <c r="O110" i="3"/>
  <c r="N110" i="3"/>
  <c r="M110" i="3"/>
  <c r="L110" i="3"/>
  <c r="Y109" i="3"/>
  <c r="X109" i="3"/>
  <c r="W109" i="3"/>
  <c r="V109" i="3"/>
  <c r="U109" i="3"/>
  <c r="T109" i="3"/>
  <c r="S109" i="3"/>
  <c r="R109" i="3"/>
  <c r="Q109" i="3"/>
  <c r="P109" i="3"/>
  <c r="O109" i="3"/>
  <c r="N109" i="3"/>
  <c r="M109" i="3"/>
  <c r="L109" i="3"/>
  <c r="Y108" i="3"/>
  <c r="X108" i="3"/>
  <c r="W108" i="3"/>
  <c r="V108" i="3"/>
  <c r="U108" i="3"/>
  <c r="T108" i="3"/>
  <c r="S108" i="3"/>
  <c r="R108" i="3"/>
  <c r="Q108" i="3"/>
  <c r="P108" i="3"/>
  <c r="O108" i="3"/>
  <c r="N108" i="3"/>
  <c r="M108" i="3"/>
  <c r="L108" i="3"/>
  <c r="Y107" i="3"/>
  <c r="X107" i="3"/>
  <c r="W107" i="3"/>
  <c r="V107" i="3"/>
  <c r="U107" i="3"/>
  <c r="T107" i="3"/>
  <c r="S107" i="3"/>
  <c r="R107" i="3"/>
  <c r="Q107" i="3"/>
  <c r="P107" i="3"/>
  <c r="O107" i="3"/>
  <c r="N107" i="3"/>
  <c r="M107" i="3"/>
  <c r="L107" i="3"/>
  <c r="Y106" i="3"/>
  <c r="X106" i="3"/>
  <c r="W106" i="3"/>
  <c r="V106" i="3"/>
  <c r="U106" i="3"/>
  <c r="T106" i="3"/>
  <c r="S106" i="3"/>
  <c r="R106" i="3"/>
  <c r="Q106" i="3"/>
  <c r="P106" i="3"/>
  <c r="O106" i="3"/>
  <c r="N106" i="3"/>
  <c r="M106" i="3"/>
  <c r="L106" i="3"/>
  <c r="Y105" i="3"/>
  <c r="X105" i="3"/>
  <c r="W105" i="3"/>
  <c r="V105" i="3"/>
  <c r="U105" i="3"/>
  <c r="T105" i="3"/>
  <c r="S105" i="3"/>
  <c r="R105" i="3"/>
  <c r="Q105" i="3"/>
  <c r="P105" i="3"/>
  <c r="O105" i="3"/>
  <c r="N105" i="3"/>
  <c r="M105" i="3"/>
  <c r="L105" i="3"/>
  <c r="Y104" i="3"/>
  <c r="X104" i="3"/>
  <c r="W104" i="3"/>
  <c r="V104" i="3"/>
  <c r="U104" i="3"/>
  <c r="T104" i="3"/>
  <c r="S104" i="3"/>
  <c r="R104" i="3"/>
  <c r="Q104" i="3"/>
  <c r="P104" i="3"/>
  <c r="O104" i="3"/>
  <c r="N104" i="3"/>
  <c r="M104" i="3"/>
  <c r="L104" i="3"/>
  <c r="Y103" i="3"/>
  <c r="X103" i="3"/>
  <c r="W103" i="3"/>
  <c r="V103" i="3"/>
  <c r="U103" i="3"/>
  <c r="T103" i="3"/>
  <c r="S103" i="3"/>
  <c r="R103" i="3"/>
  <c r="Q103" i="3"/>
  <c r="P103" i="3"/>
  <c r="O103" i="3"/>
  <c r="N103" i="3"/>
  <c r="M103" i="3"/>
  <c r="L103" i="3"/>
  <c r="Y102" i="3"/>
  <c r="X102" i="3"/>
  <c r="W102" i="3"/>
  <c r="V102" i="3"/>
  <c r="U102" i="3"/>
  <c r="T102" i="3"/>
  <c r="S102" i="3"/>
  <c r="R102" i="3"/>
  <c r="Q102" i="3"/>
  <c r="P102" i="3"/>
  <c r="O102" i="3"/>
  <c r="N102" i="3"/>
  <c r="M102" i="3"/>
  <c r="L102" i="3"/>
  <c r="Y101" i="3"/>
  <c r="X101" i="3"/>
  <c r="W101" i="3"/>
  <c r="V101" i="3"/>
  <c r="U101" i="3"/>
  <c r="T101" i="3"/>
  <c r="S101" i="3"/>
  <c r="R101" i="3"/>
  <c r="Q101" i="3"/>
  <c r="P101" i="3"/>
  <c r="O101" i="3"/>
  <c r="N101" i="3"/>
  <c r="M101" i="3"/>
  <c r="L101" i="3"/>
  <c r="Y100" i="3"/>
  <c r="X100" i="3"/>
  <c r="W100" i="3"/>
  <c r="V100" i="3"/>
  <c r="U100" i="3"/>
  <c r="T100" i="3"/>
  <c r="S100" i="3"/>
  <c r="R100" i="3"/>
  <c r="Q100" i="3"/>
  <c r="P100" i="3"/>
  <c r="O100" i="3"/>
  <c r="N100" i="3"/>
  <c r="M100" i="3"/>
  <c r="L100" i="3"/>
  <c r="Y99" i="3"/>
  <c r="X99" i="3"/>
  <c r="W99" i="3"/>
  <c r="V99" i="3"/>
  <c r="U99" i="3"/>
  <c r="T99" i="3"/>
  <c r="S99" i="3"/>
  <c r="R99" i="3"/>
  <c r="Q99" i="3"/>
  <c r="P99" i="3"/>
  <c r="O99" i="3"/>
  <c r="N99" i="3"/>
  <c r="M99" i="3"/>
  <c r="L99" i="3"/>
  <c r="Y98" i="3"/>
  <c r="X98" i="3"/>
  <c r="W98" i="3"/>
  <c r="V98" i="3"/>
  <c r="U98" i="3"/>
  <c r="T98" i="3"/>
  <c r="S98" i="3"/>
  <c r="R98" i="3"/>
  <c r="Q98" i="3"/>
  <c r="P98" i="3"/>
  <c r="O98" i="3"/>
  <c r="N98" i="3"/>
  <c r="M98" i="3"/>
  <c r="L98" i="3"/>
  <c r="Y97" i="3"/>
  <c r="X97" i="3"/>
  <c r="W97" i="3"/>
  <c r="V97" i="3"/>
  <c r="U97" i="3"/>
  <c r="T97" i="3"/>
  <c r="S97" i="3"/>
  <c r="R97" i="3"/>
  <c r="Q97" i="3"/>
  <c r="P97" i="3"/>
  <c r="O97" i="3"/>
  <c r="N97" i="3"/>
  <c r="M97" i="3"/>
  <c r="L97" i="3"/>
  <c r="Y96" i="3"/>
  <c r="X96" i="3"/>
  <c r="W96" i="3"/>
  <c r="V96" i="3"/>
  <c r="U96" i="3"/>
  <c r="T96" i="3"/>
  <c r="S96" i="3"/>
  <c r="R96" i="3"/>
  <c r="Q96" i="3"/>
  <c r="P96" i="3"/>
  <c r="O96" i="3"/>
  <c r="N96" i="3"/>
  <c r="M96" i="3"/>
  <c r="L96" i="3"/>
  <c r="Y95" i="3"/>
  <c r="X95" i="3"/>
  <c r="W95" i="3"/>
  <c r="V95" i="3"/>
  <c r="U95" i="3"/>
  <c r="T95" i="3"/>
  <c r="S95" i="3"/>
  <c r="R95" i="3"/>
  <c r="Q95" i="3"/>
  <c r="P95" i="3"/>
  <c r="O95" i="3"/>
  <c r="N95" i="3"/>
  <c r="M95" i="3"/>
  <c r="L95" i="3"/>
  <c r="Y94" i="3"/>
  <c r="X94" i="3"/>
  <c r="W94" i="3"/>
  <c r="V94" i="3"/>
  <c r="U94" i="3"/>
  <c r="T94" i="3"/>
  <c r="S94" i="3"/>
  <c r="R94" i="3"/>
  <c r="Q94" i="3"/>
  <c r="P94" i="3"/>
  <c r="O94" i="3"/>
  <c r="N94" i="3"/>
  <c r="M94" i="3"/>
  <c r="L94" i="3"/>
  <c r="Y93" i="3"/>
  <c r="X93" i="3"/>
  <c r="W93" i="3"/>
  <c r="V93" i="3"/>
  <c r="U93" i="3"/>
  <c r="T93" i="3"/>
  <c r="S93" i="3"/>
  <c r="R93" i="3"/>
  <c r="Q93" i="3"/>
  <c r="P93" i="3"/>
  <c r="O93" i="3"/>
  <c r="N93" i="3"/>
  <c r="M93" i="3"/>
  <c r="L93" i="3"/>
  <c r="Y92" i="3"/>
  <c r="X92" i="3"/>
  <c r="W92" i="3"/>
  <c r="V92" i="3"/>
  <c r="U92" i="3"/>
  <c r="T92" i="3"/>
  <c r="S92" i="3"/>
  <c r="R92" i="3"/>
  <c r="Q92" i="3"/>
  <c r="P92" i="3"/>
  <c r="O92" i="3"/>
  <c r="N92" i="3"/>
  <c r="M92" i="3"/>
  <c r="L92" i="3"/>
  <c r="Y91" i="3"/>
  <c r="X91" i="3"/>
  <c r="W91" i="3"/>
  <c r="V91" i="3"/>
  <c r="U91" i="3"/>
  <c r="T91" i="3"/>
  <c r="S91" i="3"/>
  <c r="R91" i="3"/>
  <c r="Q91" i="3"/>
  <c r="P91" i="3"/>
  <c r="O91" i="3"/>
  <c r="N91" i="3"/>
  <c r="M91" i="3"/>
  <c r="L91" i="3"/>
  <c r="Y90" i="3"/>
  <c r="X90" i="3"/>
  <c r="W90" i="3"/>
  <c r="V90" i="3"/>
  <c r="U90" i="3"/>
  <c r="T90" i="3"/>
  <c r="S90" i="3"/>
  <c r="R90" i="3"/>
  <c r="Q90" i="3"/>
  <c r="P90" i="3"/>
  <c r="O90" i="3"/>
  <c r="N90" i="3"/>
  <c r="M90" i="3"/>
  <c r="L90" i="3"/>
  <c r="Y89" i="3"/>
  <c r="X89" i="3"/>
  <c r="W89" i="3"/>
  <c r="V89" i="3"/>
  <c r="U89" i="3"/>
  <c r="T89" i="3"/>
  <c r="S89" i="3"/>
  <c r="R89" i="3"/>
  <c r="Q89" i="3"/>
  <c r="P89" i="3"/>
  <c r="O89" i="3"/>
  <c r="N89" i="3"/>
  <c r="M89" i="3"/>
  <c r="L89" i="3"/>
  <c r="Y88" i="3"/>
  <c r="X88" i="3"/>
  <c r="W88" i="3"/>
  <c r="V88" i="3"/>
  <c r="U88" i="3"/>
  <c r="T88" i="3"/>
  <c r="S88" i="3"/>
  <c r="R88" i="3"/>
  <c r="Q88" i="3"/>
  <c r="P88" i="3"/>
  <c r="O88" i="3"/>
  <c r="N88" i="3"/>
  <c r="M88" i="3"/>
  <c r="L88" i="3"/>
  <c r="Y87" i="3"/>
  <c r="X87" i="3"/>
  <c r="W87" i="3"/>
  <c r="V87" i="3"/>
  <c r="U87" i="3"/>
  <c r="T87" i="3"/>
  <c r="S87" i="3"/>
  <c r="R87" i="3"/>
  <c r="Q87" i="3"/>
  <c r="P87" i="3"/>
  <c r="O87" i="3"/>
  <c r="N87" i="3"/>
  <c r="M87" i="3"/>
  <c r="L87" i="3"/>
  <c r="Y86" i="3"/>
  <c r="X86" i="3"/>
  <c r="W86" i="3"/>
  <c r="V86" i="3"/>
  <c r="U86" i="3"/>
  <c r="T86" i="3"/>
  <c r="S86" i="3"/>
  <c r="R86" i="3"/>
  <c r="Q86" i="3"/>
  <c r="P86" i="3"/>
  <c r="O86" i="3"/>
  <c r="N86" i="3"/>
  <c r="M86" i="3"/>
  <c r="L86" i="3"/>
  <c r="Y85" i="3"/>
  <c r="X85" i="3"/>
  <c r="W85" i="3"/>
  <c r="V85" i="3"/>
  <c r="U85" i="3"/>
  <c r="T85" i="3"/>
  <c r="S85" i="3"/>
  <c r="R85" i="3"/>
  <c r="Q85" i="3"/>
  <c r="P85" i="3"/>
  <c r="O85" i="3"/>
  <c r="N85" i="3"/>
  <c r="M85" i="3"/>
  <c r="L85" i="3"/>
  <c r="Y84" i="3"/>
  <c r="X84" i="3"/>
  <c r="W84" i="3"/>
  <c r="V84" i="3"/>
  <c r="U84" i="3"/>
  <c r="T84" i="3"/>
  <c r="S84" i="3"/>
  <c r="R84" i="3"/>
  <c r="Q84" i="3"/>
  <c r="P84" i="3"/>
  <c r="O84" i="3"/>
  <c r="N84" i="3"/>
  <c r="M84" i="3"/>
  <c r="L84" i="3"/>
  <c r="Y83" i="3"/>
  <c r="X83" i="3"/>
  <c r="W83" i="3"/>
  <c r="V83" i="3"/>
  <c r="U83" i="3"/>
  <c r="T83" i="3"/>
  <c r="S83" i="3"/>
  <c r="R83" i="3"/>
  <c r="Q83" i="3"/>
  <c r="P83" i="3"/>
  <c r="O83" i="3"/>
  <c r="N83" i="3"/>
  <c r="M83" i="3"/>
  <c r="L83" i="3"/>
  <c r="Y82" i="3"/>
  <c r="X82" i="3"/>
  <c r="W82" i="3"/>
  <c r="V82" i="3"/>
  <c r="U82" i="3"/>
  <c r="T82" i="3"/>
  <c r="S82" i="3"/>
  <c r="R82" i="3"/>
  <c r="Q82" i="3"/>
  <c r="P82" i="3"/>
  <c r="O82" i="3"/>
  <c r="N82" i="3"/>
  <c r="M82" i="3"/>
  <c r="L82" i="3"/>
  <c r="Y81" i="3"/>
  <c r="X81" i="3"/>
  <c r="W81" i="3"/>
  <c r="V81" i="3"/>
  <c r="U81" i="3"/>
  <c r="T81" i="3"/>
  <c r="S81" i="3"/>
  <c r="R81" i="3"/>
  <c r="Q81" i="3"/>
  <c r="P81" i="3"/>
  <c r="O81" i="3"/>
  <c r="N81" i="3"/>
  <c r="M81" i="3"/>
  <c r="L81" i="3"/>
  <c r="Y80" i="3"/>
  <c r="X80" i="3"/>
  <c r="W80" i="3"/>
  <c r="V80" i="3"/>
  <c r="U80" i="3"/>
  <c r="T80" i="3"/>
  <c r="S80" i="3"/>
  <c r="R80" i="3"/>
  <c r="Q80" i="3"/>
  <c r="P80" i="3"/>
  <c r="O80" i="3"/>
  <c r="N80" i="3"/>
  <c r="M80" i="3"/>
  <c r="L80" i="3"/>
  <c r="Y79" i="3"/>
  <c r="X79" i="3"/>
  <c r="W79" i="3"/>
  <c r="V79" i="3"/>
  <c r="U79" i="3"/>
  <c r="T79" i="3"/>
  <c r="S79" i="3"/>
  <c r="R79" i="3"/>
  <c r="Q79" i="3"/>
  <c r="P79" i="3"/>
  <c r="O79" i="3"/>
  <c r="N79" i="3"/>
  <c r="M79" i="3"/>
  <c r="L79" i="3"/>
  <c r="Y78" i="3"/>
  <c r="X78" i="3"/>
  <c r="W78" i="3"/>
  <c r="V78" i="3"/>
  <c r="U78" i="3"/>
  <c r="T78" i="3"/>
  <c r="S78" i="3"/>
  <c r="R78" i="3"/>
  <c r="Q78" i="3"/>
  <c r="P78" i="3"/>
  <c r="O78" i="3"/>
  <c r="N78" i="3"/>
  <c r="M78" i="3"/>
  <c r="L78" i="3"/>
  <c r="Y77" i="3"/>
  <c r="X77" i="3"/>
  <c r="W77" i="3"/>
  <c r="V77" i="3"/>
  <c r="U77" i="3"/>
  <c r="T77" i="3"/>
  <c r="S77" i="3"/>
  <c r="R77" i="3"/>
  <c r="Q77" i="3"/>
  <c r="P77" i="3"/>
  <c r="O77" i="3"/>
  <c r="N77" i="3"/>
  <c r="M77" i="3"/>
  <c r="L77" i="3"/>
  <c r="Y76" i="3"/>
  <c r="X76" i="3"/>
  <c r="W76" i="3"/>
  <c r="V76" i="3"/>
  <c r="U76" i="3"/>
  <c r="T76" i="3"/>
  <c r="S76" i="3"/>
  <c r="R76" i="3"/>
  <c r="Q76" i="3"/>
  <c r="P76" i="3"/>
  <c r="O76" i="3"/>
  <c r="N76" i="3"/>
  <c r="M76" i="3"/>
  <c r="L76" i="3"/>
  <c r="Y75" i="3"/>
  <c r="X75" i="3"/>
  <c r="W75" i="3"/>
  <c r="V75" i="3"/>
  <c r="U75" i="3"/>
  <c r="T75" i="3"/>
  <c r="S75" i="3"/>
  <c r="R75" i="3"/>
  <c r="Q75" i="3"/>
  <c r="P75" i="3"/>
  <c r="O75" i="3"/>
  <c r="N75" i="3"/>
  <c r="M75" i="3"/>
  <c r="L75" i="3"/>
  <c r="Y74" i="3"/>
  <c r="X74" i="3"/>
  <c r="W74" i="3"/>
  <c r="V74" i="3"/>
  <c r="U74" i="3"/>
  <c r="T74" i="3"/>
  <c r="S74" i="3"/>
  <c r="R74" i="3"/>
  <c r="Q74" i="3"/>
  <c r="P74" i="3"/>
  <c r="O74" i="3"/>
  <c r="N74" i="3"/>
  <c r="M74" i="3"/>
  <c r="L74" i="3"/>
  <c r="Y73" i="3"/>
  <c r="X73" i="3"/>
  <c r="W73" i="3"/>
  <c r="V73" i="3"/>
  <c r="U73" i="3"/>
  <c r="T73" i="3"/>
  <c r="S73" i="3"/>
  <c r="R73" i="3"/>
  <c r="Q73" i="3"/>
  <c r="P73" i="3"/>
  <c r="O73" i="3"/>
  <c r="N73" i="3"/>
  <c r="M73" i="3"/>
  <c r="L73" i="3"/>
  <c r="Y72" i="3"/>
  <c r="X72" i="3"/>
  <c r="W72" i="3"/>
  <c r="V72" i="3"/>
  <c r="U72" i="3"/>
  <c r="T72" i="3"/>
  <c r="S72" i="3"/>
  <c r="R72" i="3"/>
  <c r="Q72" i="3"/>
  <c r="P72" i="3"/>
  <c r="O72" i="3"/>
  <c r="N72" i="3"/>
  <c r="M72" i="3"/>
  <c r="L72" i="3"/>
  <c r="Y71" i="3"/>
  <c r="X71" i="3"/>
  <c r="W71" i="3"/>
  <c r="V71" i="3"/>
  <c r="U71" i="3"/>
  <c r="T71" i="3"/>
  <c r="S71" i="3"/>
  <c r="R71" i="3"/>
  <c r="Q71" i="3"/>
  <c r="P71" i="3"/>
  <c r="O71" i="3"/>
  <c r="N71" i="3"/>
  <c r="M71" i="3"/>
  <c r="L71" i="3"/>
  <c r="Y70" i="3"/>
  <c r="X70" i="3"/>
  <c r="W70" i="3"/>
  <c r="V70" i="3"/>
  <c r="U70" i="3"/>
  <c r="T70" i="3"/>
  <c r="S70" i="3"/>
  <c r="R70" i="3"/>
  <c r="Q70" i="3"/>
  <c r="P70" i="3"/>
  <c r="O70" i="3"/>
  <c r="N70" i="3"/>
  <c r="M70" i="3"/>
  <c r="L70" i="3"/>
  <c r="Y69" i="3"/>
  <c r="X69" i="3"/>
  <c r="W69" i="3"/>
  <c r="V69" i="3"/>
  <c r="U69" i="3"/>
  <c r="T69" i="3"/>
  <c r="S69" i="3"/>
  <c r="R69" i="3"/>
  <c r="Q69" i="3"/>
  <c r="P69" i="3"/>
  <c r="O69" i="3"/>
  <c r="N69" i="3"/>
  <c r="M69" i="3"/>
  <c r="L69" i="3"/>
  <c r="Y68" i="3"/>
  <c r="X68" i="3"/>
  <c r="W68" i="3"/>
  <c r="V68" i="3"/>
  <c r="U68" i="3"/>
  <c r="T68" i="3"/>
  <c r="S68" i="3"/>
  <c r="R68" i="3"/>
  <c r="Q68" i="3"/>
  <c r="P68" i="3"/>
  <c r="O68" i="3"/>
  <c r="N68" i="3"/>
  <c r="M68" i="3"/>
  <c r="L68" i="3"/>
  <c r="Y67" i="3"/>
  <c r="X67" i="3"/>
  <c r="W67" i="3"/>
  <c r="V67" i="3"/>
  <c r="U67" i="3"/>
  <c r="T67" i="3"/>
  <c r="S67" i="3"/>
  <c r="R67" i="3"/>
  <c r="Q67" i="3"/>
  <c r="P67" i="3"/>
  <c r="O67" i="3"/>
  <c r="N67" i="3"/>
  <c r="M67" i="3"/>
  <c r="L67" i="3"/>
  <c r="Y66" i="3"/>
  <c r="X66" i="3"/>
  <c r="W66" i="3"/>
  <c r="V66" i="3"/>
  <c r="U66" i="3"/>
  <c r="T66" i="3"/>
  <c r="S66" i="3"/>
  <c r="R66" i="3"/>
  <c r="Q66" i="3"/>
  <c r="P66" i="3"/>
  <c r="O66" i="3"/>
  <c r="N66" i="3"/>
  <c r="M66" i="3"/>
  <c r="L66" i="3"/>
  <c r="Y65" i="3"/>
  <c r="X65" i="3"/>
  <c r="W65" i="3"/>
  <c r="V65" i="3"/>
  <c r="U65" i="3"/>
  <c r="T65" i="3"/>
  <c r="S65" i="3"/>
  <c r="R65" i="3"/>
  <c r="Q65" i="3"/>
  <c r="P65" i="3"/>
  <c r="O65" i="3"/>
  <c r="N65" i="3"/>
  <c r="M65" i="3"/>
  <c r="L65" i="3"/>
  <c r="Y64" i="3"/>
  <c r="X64" i="3"/>
  <c r="W64" i="3"/>
  <c r="V64" i="3"/>
  <c r="U64" i="3"/>
  <c r="T64" i="3"/>
  <c r="S64" i="3"/>
  <c r="R64" i="3"/>
  <c r="Q64" i="3"/>
  <c r="P64" i="3"/>
  <c r="O64" i="3"/>
  <c r="N64" i="3"/>
  <c r="M64" i="3"/>
  <c r="L64" i="3"/>
  <c r="Y63" i="3"/>
  <c r="X63" i="3"/>
  <c r="W63" i="3"/>
  <c r="V63" i="3"/>
  <c r="U63" i="3"/>
  <c r="T63" i="3"/>
  <c r="S63" i="3"/>
  <c r="R63" i="3"/>
  <c r="Q63" i="3"/>
  <c r="P63" i="3"/>
  <c r="O63" i="3"/>
  <c r="N63" i="3"/>
  <c r="M63" i="3"/>
  <c r="L63" i="3"/>
  <c r="Y62" i="3"/>
  <c r="X62" i="3"/>
  <c r="W62" i="3"/>
  <c r="V62" i="3"/>
  <c r="U62" i="3"/>
  <c r="T62" i="3"/>
  <c r="S62" i="3"/>
  <c r="R62" i="3"/>
  <c r="Q62" i="3"/>
  <c r="P62" i="3"/>
  <c r="O62" i="3"/>
  <c r="N62" i="3"/>
  <c r="M62" i="3"/>
  <c r="L62" i="3"/>
  <c r="Y61" i="3"/>
  <c r="X61" i="3"/>
  <c r="W61" i="3"/>
  <c r="V61" i="3"/>
  <c r="U61" i="3"/>
  <c r="T61" i="3"/>
  <c r="S61" i="3"/>
  <c r="R61" i="3"/>
  <c r="Q61" i="3"/>
  <c r="P61" i="3"/>
  <c r="O61" i="3"/>
  <c r="N61" i="3"/>
  <c r="M61" i="3"/>
  <c r="L61" i="3"/>
  <c r="Y60" i="3"/>
  <c r="X60" i="3"/>
  <c r="W60" i="3"/>
  <c r="V60" i="3"/>
  <c r="U60" i="3"/>
  <c r="T60" i="3"/>
  <c r="S60" i="3"/>
  <c r="R60" i="3"/>
  <c r="Q60" i="3"/>
  <c r="P60" i="3"/>
  <c r="O60" i="3"/>
  <c r="N60" i="3"/>
  <c r="M60" i="3"/>
  <c r="L60" i="3"/>
  <c r="Y59" i="3"/>
  <c r="X59" i="3"/>
  <c r="W59" i="3"/>
  <c r="V59" i="3"/>
  <c r="U59" i="3"/>
  <c r="T59" i="3"/>
  <c r="S59" i="3"/>
  <c r="R59" i="3"/>
  <c r="Q59" i="3"/>
  <c r="P59" i="3"/>
  <c r="O59" i="3"/>
  <c r="N59" i="3"/>
  <c r="M59" i="3"/>
  <c r="L59" i="3"/>
  <c r="Y58" i="3"/>
  <c r="X58" i="3"/>
  <c r="W58" i="3"/>
  <c r="V58" i="3"/>
  <c r="U58" i="3"/>
  <c r="T58" i="3"/>
  <c r="S58" i="3"/>
  <c r="R58" i="3"/>
  <c r="Q58" i="3"/>
  <c r="P58" i="3"/>
  <c r="O58" i="3"/>
  <c r="N58" i="3"/>
  <c r="M58" i="3"/>
  <c r="L58" i="3"/>
  <c r="Y57" i="3"/>
  <c r="X57" i="3"/>
  <c r="W57" i="3"/>
  <c r="V57" i="3"/>
  <c r="U57" i="3"/>
  <c r="T57" i="3"/>
  <c r="S57" i="3"/>
  <c r="R57" i="3"/>
  <c r="Q57" i="3"/>
  <c r="P57" i="3"/>
  <c r="O57" i="3"/>
  <c r="N57" i="3"/>
  <c r="M57" i="3"/>
  <c r="L57" i="3"/>
  <c r="Y56" i="3"/>
  <c r="X56" i="3"/>
  <c r="W56" i="3"/>
  <c r="V56" i="3"/>
  <c r="U56" i="3"/>
  <c r="T56" i="3"/>
  <c r="S56" i="3"/>
  <c r="R56" i="3"/>
  <c r="Q56" i="3"/>
  <c r="P56" i="3"/>
  <c r="O56" i="3"/>
  <c r="N56" i="3"/>
  <c r="M56" i="3"/>
  <c r="L56" i="3"/>
  <c r="Y55" i="3"/>
  <c r="X55" i="3"/>
  <c r="W55" i="3"/>
  <c r="V55" i="3"/>
  <c r="U55" i="3"/>
  <c r="T55" i="3"/>
  <c r="S55" i="3"/>
  <c r="R55" i="3"/>
  <c r="Q55" i="3"/>
  <c r="P55" i="3"/>
  <c r="O55" i="3"/>
  <c r="N55" i="3"/>
  <c r="M55" i="3"/>
  <c r="L55" i="3"/>
  <c r="Y54" i="3"/>
  <c r="X54" i="3"/>
  <c r="W54" i="3"/>
  <c r="V54" i="3"/>
  <c r="U54" i="3"/>
  <c r="T54" i="3"/>
  <c r="S54" i="3"/>
  <c r="R54" i="3"/>
  <c r="Q54" i="3"/>
  <c r="P54" i="3"/>
  <c r="O54" i="3"/>
  <c r="N54" i="3"/>
  <c r="M54" i="3"/>
  <c r="L54" i="3"/>
  <c r="Y53" i="3"/>
  <c r="X53" i="3"/>
  <c r="W53" i="3"/>
  <c r="V53" i="3"/>
  <c r="U53" i="3"/>
  <c r="T53" i="3"/>
  <c r="S53" i="3"/>
  <c r="R53" i="3"/>
  <c r="Q53" i="3"/>
  <c r="P53" i="3"/>
  <c r="O53" i="3"/>
  <c r="N53" i="3"/>
  <c r="M53" i="3"/>
  <c r="L53" i="3"/>
  <c r="Y52" i="3"/>
  <c r="X52" i="3"/>
  <c r="W52" i="3"/>
  <c r="V52" i="3"/>
  <c r="U52" i="3"/>
  <c r="T52" i="3"/>
  <c r="S52" i="3"/>
  <c r="R52" i="3"/>
  <c r="Q52" i="3"/>
  <c r="P52" i="3"/>
  <c r="O52" i="3"/>
  <c r="N52" i="3"/>
  <c r="M52" i="3"/>
  <c r="L52" i="3"/>
  <c r="Y51" i="3"/>
  <c r="X51" i="3"/>
  <c r="W51" i="3"/>
  <c r="V51" i="3"/>
  <c r="U51" i="3"/>
  <c r="T51" i="3"/>
  <c r="S51" i="3"/>
  <c r="R51" i="3"/>
  <c r="Q51" i="3"/>
  <c r="P51" i="3"/>
  <c r="O51" i="3"/>
  <c r="N51" i="3"/>
  <c r="M51" i="3"/>
  <c r="L51" i="3"/>
  <c r="Y50" i="3"/>
  <c r="X50" i="3"/>
  <c r="W50" i="3"/>
  <c r="V50" i="3"/>
  <c r="U50" i="3"/>
  <c r="T50" i="3"/>
  <c r="S50" i="3"/>
  <c r="R50" i="3"/>
  <c r="Q50" i="3"/>
  <c r="P50" i="3"/>
  <c r="O50" i="3"/>
  <c r="N50" i="3"/>
  <c r="M50" i="3"/>
  <c r="L50" i="3"/>
  <c r="Y49" i="3"/>
  <c r="X49" i="3"/>
  <c r="W49" i="3"/>
  <c r="V49" i="3"/>
  <c r="U49" i="3"/>
  <c r="T49" i="3"/>
  <c r="S49" i="3"/>
  <c r="R49" i="3"/>
  <c r="Q49" i="3"/>
  <c r="P49" i="3"/>
  <c r="O49" i="3"/>
  <c r="N49" i="3"/>
  <c r="M49" i="3"/>
  <c r="L49" i="3"/>
  <c r="Y48" i="3"/>
  <c r="X48" i="3"/>
  <c r="W48" i="3"/>
  <c r="V48" i="3"/>
  <c r="U48" i="3"/>
  <c r="T48" i="3"/>
  <c r="S48" i="3"/>
  <c r="R48" i="3"/>
  <c r="Q48" i="3"/>
  <c r="P48" i="3"/>
  <c r="O48" i="3"/>
  <c r="N48" i="3"/>
  <c r="M48" i="3"/>
  <c r="L48" i="3"/>
  <c r="Y47" i="3"/>
  <c r="X47" i="3"/>
  <c r="W47" i="3"/>
  <c r="V47" i="3"/>
  <c r="U47" i="3"/>
  <c r="T47" i="3"/>
  <c r="S47" i="3"/>
  <c r="R47" i="3"/>
  <c r="Q47" i="3"/>
  <c r="P47" i="3"/>
  <c r="O47" i="3"/>
  <c r="N47" i="3"/>
  <c r="M47" i="3"/>
  <c r="L47" i="3"/>
  <c r="Y46" i="3"/>
  <c r="X46" i="3"/>
  <c r="W46" i="3"/>
  <c r="V46" i="3"/>
  <c r="U46" i="3"/>
  <c r="T46" i="3"/>
  <c r="S46" i="3"/>
  <c r="R46" i="3"/>
  <c r="Q46" i="3"/>
  <c r="P46" i="3"/>
  <c r="O46" i="3"/>
  <c r="N46" i="3"/>
  <c r="M46" i="3"/>
  <c r="L46" i="3"/>
  <c r="Y45" i="3"/>
  <c r="W45" i="3"/>
  <c r="R45" i="3"/>
  <c r="O45" i="3"/>
  <c r="S45" i="3" s="1"/>
  <c r="N45" i="3"/>
  <c r="L45" i="3"/>
  <c r="Y44" i="3"/>
  <c r="W44" i="3"/>
  <c r="S44" i="3"/>
  <c r="O44" i="3"/>
  <c r="N44" i="3"/>
  <c r="L44" i="3"/>
  <c r="M44" i="3" s="1"/>
  <c r="Y43" i="3"/>
  <c r="W43" i="3"/>
  <c r="O43" i="3"/>
  <c r="S43" i="3" s="1"/>
  <c r="N43" i="3"/>
  <c r="L43" i="3"/>
  <c r="M43" i="3" s="1"/>
  <c r="Y42" i="3"/>
  <c r="W42" i="3"/>
  <c r="R42" i="3"/>
  <c r="O42" i="3"/>
  <c r="S42" i="3" s="1"/>
  <c r="N42" i="3"/>
  <c r="L42" i="3"/>
  <c r="M42" i="3" s="1"/>
  <c r="Y41" i="3"/>
  <c r="W41" i="3"/>
  <c r="R41" i="3"/>
  <c r="Q41" i="3"/>
  <c r="O41" i="3"/>
  <c r="S41" i="3" s="1"/>
  <c r="N41" i="3"/>
  <c r="L41" i="3"/>
  <c r="M41" i="3" s="1"/>
  <c r="Y40" i="3"/>
  <c r="W40" i="3"/>
  <c r="R40" i="3"/>
  <c r="O40" i="3"/>
  <c r="S40" i="3" s="1"/>
  <c r="N40" i="3"/>
  <c r="L40" i="3"/>
  <c r="M40" i="3" s="1"/>
  <c r="Y39" i="3"/>
  <c r="W39" i="3"/>
  <c r="R39" i="3"/>
  <c r="O39" i="3"/>
  <c r="N39" i="3"/>
  <c r="L39" i="3"/>
  <c r="M39" i="3" s="1"/>
  <c r="Y38" i="3"/>
  <c r="W38" i="3"/>
  <c r="R38" i="3"/>
  <c r="O38" i="3"/>
  <c r="S38" i="3" s="1"/>
  <c r="N38" i="3"/>
  <c r="L38" i="3"/>
  <c r="M38" i="3" s="1"/>
  <c r="Y37" i="3"/>
  <c r="W37" i="3"/>
  <c r="O37" i="3"/>
  <c r="S37" i="3" s="1"/>
  <c r="N37" i="3"/>
  <c r="L37" i="3"/>
  <c r="H10" i="6" s="1"/>
  <c r="Y36" i="3"/>
  <c r="W36" i="3"/>
  <c r="O36" i="3"/>
  <c r="S36" i="3" s="1"/>
  <c r="N36" i="3"/>
  <c r="L36" i="3"/>
  <c r="Y35" i="3"/>
  <c r="W35" i="3"/>
  <c r="S35" i="3"/>
  <c r="R35" i="3"/>
  <c r="K8" i="6" s="1"/>
  <c r="P35" i="3"/>
  <c r="T35" i="3" s="1"/>
  <c r="O35" i="3"/>
  <c r="N35" i="3"/>
  <c r="L35" i="3"/>
  <c r="U35" i="3" s="1"/>
  <c r="Y34" i="3"/>
  <c r="W34" i="3"/>
  <c r="O34" i="3"/>
  <c r="S34" i="3" s="1"/>
  <c r="N34" i="3"/>
  <c r="L34" i="3"/>
  <c r="U34" i="3" s="1"/>
  <c r="Y33" i="3"/>
  <c r="W33" i="3"/>
  <c r="O33" i="3"/>
  <c r="S33" i="3" s="1"/>
  <c r="N33" i="3"/>
  <c r="M33" i="3"/>
  <c r="L33" i="3"/>
  <c r="Y32" i="3"/>
  <c r="W32" i="3"/>
  <c r="S32" i="3"/>
  <c r="R32" i="3"/>
  <c r="Q32" i="3"/>
  <c r="O32" i="3"/>
  <c r="N32" i="3"/>
  <c r="L32" i="3"/>
  <c r="U32" i="3" s="1"/>
  <c r="Y31" i="3"/>
  <c r="W31" i="3"/>
  <c r="R31" i="3"/>
  <c r="O31" i="3"/>
  <c r="S31" i="3" s="1"/>
  <c r="N31" i="3"/>
  <c r="L31" i="3"/>
  <c r="M31" i="3" s="1"/>
  <c r="Y30" i="3"/>
  <c r="W30" i="3"/>
  <c r="O30" i="3"/>
  <c r="S30" i="3" s="1"/>
  <c r="N30" i="3"/>
  <c r="L30" i="3"/>
  <c r="M30" i="3" s="1"/>
  <c r="Y29" i="3"/>
  <c r="W29" i="3"/>
  <c r="S29" i="3"/>
  <c r="O29" i="3"/>
  <c r="N29" i="3"/>
  <c r="L29" i="3"/>
  <c r="M29" i="3" s="1"/>
  <c r="Y28" i="3"/>
  <c r="W28" i="3"/>
  <c r="O28" i="3"/>
  <c r="S28" i="3" s="1"/>
  <c r="N28" i="3"/>
  <c r="L28" i="3"/>
  <c r="U28" i="3" s="1"/>
  <c r="Y27" i="3"/>
  <c r="W27" i="3"/>
  <c r="S27" i="3"/>
  <c r="Q27" i="3"/>
  <c r="O27" i="3"/>
  <c r="N27" i="3"/>
  <c r="L27" i="3"/>
  <c r="U27" i="3" s="1"/>
  <c r="Y26" i="3"/>
  <c r="W26" i="3"/>
  <c r="U26" i="3"/>
  <c r="V26" i="3" s="1"/>
  <c r="O26" i="3"/>
  <c r="S26" i="3" s="1"/>
  <c r="N26" i="3"/>
  <c r="L26" i="3"/>
  <c r="M26" i="3" s="1"/>
  <c r="Y25" i="3"/>
  <c r="W25" i="3"/>
  <c r="R25" i="3"/>
  <c r="O25" i="3"/>
  <c r="S25" i="3" s="1"/>
  <c r="N25" i="3"/>
  <c r="L25" i="3"/>
  <c r="M25" i="3" s="1"/>
  <c r="Y24" i="3"/>
  <c r="W24" i="3"/>
  <c r="O24" i="3"/>
  <c r="S24" i="3" s="1"/>
  <c r="N24" i="3"/>
  <c r="L24" i="3"/>
  <c r="M24" i="3" s="1"/>
  <c r="Y23" i="3"/>
  <c r="W23" i="3"/>
  <c r="P23" i="3"/>
  <c r="O23" i="3"/>
  <c r="S23" i="3" s="1"/>
  <c r="N23" i="3"/>
  <c r="L23" i="3"/>
  <c r="M23" i="3" s="1"/>
  <c r="Y22" i="3"/>
  <c r="W22" i="3"/>
  <c r="R22" i="3"/>
  <c r="O22" i="3"/>
  <c r="S22" i="3" s="1"/>
  <c r="N22" i="3"/>
  <c r="L22" i="3"/>
  <c r="U22" i="3" s="1"/>
  <c r="Y21" i="3"/>
  <c r="W21" i="3"/>
  <c r="U21" i="3"/>
  <c r="S21" i="3"/>
  <c r="R21" i="3"/>
  <c r="Q21" i="3"/>
  <c r="O21" i="3"/>
  <c r="N21" i="3"/>
  <c r="L21" i="3"/>
  <c r="M21" i="3" s="1"/>
  <c r="Y20" i="3"/>
  <c r="W20" i="3"/>
  <c r="R20" i="3"/>
  <c r="Q20" i="3"/>
  <c r="O20" i="3"/>
  <c r="S20" i="3" s="1"/>
  <c r="N20" i="3"/>
  <c r="L20" i="3"/>
  <c r="M20" i="3" s="1"/>
  <c r="Y19" i="3"/>
  <c r="W19" i="3"/>
  <c r="S19" i="3"/>
  <c r="R19" i="3"/>
  <c r="O19" i="3"/>
  <c r="N19" i="3"/>
  <c r="L19" i="3"/>
  <c r="M19" i="3" s="1"/>
  <c r="Y18" i="3"/>
  <c r="W18" i="3"/>
  <c r="S18" i="3"/>
  <c r="R18" i="3"/>
  <c r="Q18" i="3"/>
  <c r="O18" i="3"/>
  <c r="N18" i="3"/>
  <c r="L18" i="3"/>
  <c r="U18" i="3" s="1"/>
  <c r="Y17" i="3"/>
  <c r="W17" i="3"/>
  <c r="O17" i="3"/>
  <c r="S17" i="3" s="1"/>
  <c r="N17" i="3"/>
  <c r="L17" i="3"/>
  <c r="Y16" i="3"/>
  <c r="W16" i="3"/>
  <c r="U16" i="3"/>
  <c r="S16" i="3"/>
  <c r="R16" i="3"/>
  <c r="O16" i="3"/>
  <c r="N16" i="3"/>
  <c r="L16" i="3"/>
  <c r="M16" i="3" s="1"/>
  <c r="Y15" i="3"/>
  <c r="W15" i="3"/>
  <c r="R15" i="3"/>
  <c r="Q15" i="3"/>
  <c r="O15" i="3"/>
  <c r="S15" i="3" s="1"/>
  <c r="N15" i="3"/>
  <c r="L15" i="3"/>
  <c r="M15" i="3" s="1"/>
  <c r="Y14" i="3"/>
  <c r="W14" i="3"/>
  <c r="O14" i="3"/>
  <c r="S14" i="3" s="1"/>
  <c r="N14" i="3"/>
  <c r="L14" i="3"/>
  <c r="M14" i="3" s="1"/>
  <c r="Y13" i="3"/>
  <c r="W13" i="3"/>
  <c r="S13" i="3"/>
  <c r="R13" i="3"/>
  <c r="O13" i="3"/>
  <c r="N13" i="3"/>
  <c r="L13" i="3"/>
  <c r="U13" i="3" s="1"/>
  <c r="Y12" i="3"/>
  <c r="W12" i="3"/>
  <c r="O12" i="3"/>
  <c r="S12" i="3" s="1"/>
  <c r="N12" i="3"/>
  <c r="L12" i="3"/>
  <c r="Y11" i="3"/>
  <c r="W11" i="3"/>
  <c r="U11" i="3"/>
  <c r="S11" i="3"/>
  <c r="R11" i="3"/>
  <c r="Q11" i="3"/>
  <c r="O11" i="3"/>
  <c r="N11" i="3"/>
  <c r="L11" i="3"/>
  <c r="M11" i="3" s="1"/>
  <c r="Y10" i="3"/>
  <c r="W10" i="3"/>
  <c r="R10" i="3"/>
  <c r="Q10" i="3"/>
  <c r="P10" i="3"/>
  <c r="O10" i="3"/>
  <c r="S10" i="3" s="1"/>
  <c r="N10" i="3"/>
  <c r="L10" i="3"/>
  <c r="M10" i="3" s="1"/>
  <c r="Y9" i="3"/>
  <c r="W9" i="3"/>
  <c r="R9" i="3"/>
  <c r="Q9" i="3"/>
  <c r="P9" i="3"/>
  <c r="O9" i="3"/>
  <c r="S9" i="3" s="1"/>
  <c r="N9" i="3"/>
  <c r="L9" i="3"/>
  <c r="Y8" i="3"/>
  <c r="W8" i="3"/>
  <c r="R8" i="3"/>
  <c r="Q8" i="3"/>
  <c r="P8" i="3"/>
  <c r="O8" i="3"/>
  <c r="S8" i="3" s="1"/>
  <c r="N8" i="3"/>
  <c r="L8" i="3"/>
  <c r="U8" i="3" s="1"/>
  <c r="V8" i="3" s="1"/>
  <c r="Y7" i="3"/>
  <c r="W7" i="3"/>
  <c r="R7" i="3"/>
  <c r="Q7" i="3"/>
  <c r="O7" i="3"/>
  <c r="S7" i="3" s="1"/>
  <c r="N7" i="3"/>
  <c r="L7" i="3"/>
  <c r="Y6" i="3"/>
  <c r="W6" i="3"/>
  <c r="O6" i="3"/>
  <c r="S6" i="3" s="1"/>
  <c r="N6" i="3"/>
  <c r="L6" i="3"/>
  <c r="U6" i="3" s="1"/>
  <c r="G11" i="2"/>
  <c r="G10" i="2"/>
  <c r="G9" i="2"/>
  <c r="G8" i="2"/>
  <c r="G7" i="2"/>
  <c r="P26" i="3" s="1"/>
  <c r="G6" i="2"/>
  <c r="M28" i="3" l="1"/>
  <c r="U31" i="3"/>
  <c r="U38" i="3"/>
  <c r="M32" i="3"/>
  <c r="M35" i="3"/>
  <c r="U44" i="3"/>
  <c r="Q13" i="3"/>
  <c r="R34" i="3"/>
  <c r="F7" i="6"/>
  <c r="L15" i="6"/>
  <c r="K17" i="6"/>
  <c r="G19" i="6"/>
  <c r="B23" i="6"/>
  <c r="G25" i="6"/>
  <c r="F26" i="6"/>
  <c r="D13" i="7"/>
  <c r="C16" i="7"/>
  <c r="F18" i="7"/>
  <c r="E21" i="7"/>
  <c r="C24" i="7"/>
  <c r="C26" i="7"/>
  <c r="F28" i="7"/>
  <c r="B36" i="7"/>
  <c r="C11" i="8"/>
  <c r="D12" i="8"/>
  <c r="H16" i="8"/>
  <c r="B19" i="8"/>
  <c r="C20" i="8"/>
  <c r="E21" i="8"/>
  <c r="J22" i="8"/>
  <c r="T9" i="3"/>
  <c r="M8" i="3"/>
  <c r="Q17" i="3"/>
  <c r="Q36" i="3"/>
  <c r="U39" i="3"/>
  <c r="F8" i="7"/>
  <c r="Q28" i="3"/>
  <c r="G7" i="6"/>
  <c r="M17" i="6"/>
  <c r="J19" i="6"/>
  <c r="C23" i="6"/>
  <c r="H25" i="6"/>
  <c r="G26" i="6"/>
  <c r="D16" i="7"/>
  <c r="E24" i="7"/>
  <c r="F26" i="7"/>
  <c r="G26" i="7" s="1"/>
  <c r="B32" i="7"/>
  <c r="B34" i="7"/>
  <c r="C36" i="7"/>
  <c r="D11" i="8"/>
  <c r="E12" i="8"/>
  <c r="B14" i="8"/>
  <c r="I15" i="8"/>
  <c r="I16" i="8"/>
  <c r="C19" i="8"/>
  <c r="H20" i="8"/>
  <c r="F21" i="8"/>
  <c r="K22" i="8"/>
  <c r="B24" i="8"/>
  <c r="C25" i="8"/>
  <c r="M13" i="3"/>
  <c r="P13" i="3"/>
  <c r="P18" i="3"/>
  <c r="T18" i="3" s="1"/>
  <c r="X18" i="3" s="1"/>
  <c r="R30" i="3"/>
  <c r="V35" i="3"/>
  <c r="U23" i="3"/>
  <c r="V23" i="3" s="1"/>
  <c r="U43" i="3"/>
  <c r="Q23" i="3"/>
  <c r="T23" i="3" s="1"/>
  <c r="Q33" i="3"/>
  <c r="B11" i="6"/>
  <c r="C12" i="6"/>
  <c r="F13" i="6"/>
  <c r="C15" i="6"/>
  <c r="B17" i="6"/>
  <c r="K19" i="6"/>
  <c r="D22" i="6"/>
  <c r="D23" i="6"/>
  <c r="G24" i="6"/>
  <c r="J26" i="6"/>
  <c r="G24" i="7"/>
  <c r="C32" i="7"/>
  <c r="G32" i="7" s="1"/>
  <c r="D34" i="7"/>
  <c r="D36" i="7"/>
  <c r="E11" i="8"/>
  <c r="K12" i="8"/>
  <c r="C14" i="8"/>
  <c r="J15" i="8"/>
  <c r="M16" i="8"/>
  <c r="D19" i="8"/>
  <c r="I20" i="8"/>
  <c r="G21" i="8"/>
  <c r="L22" i="8"/>
  <c r="C24" i="8"/>
  <c r="K25" i="8"/>
  <c r="X35" i="3"/>
  <c r="M19" i="6"/>
  <c r="K26" i="6"/>
  <c r="F11" i="8"/>
  <c r="D14" i="8"/>
  <c r="N16" i="8"/>
  <c r="E19" i="8"/>
  <c r="H21" i="8"/>
  <c r="D24" i="8"/>
  <c r="L25" i="6"/>
  <c r="M26" i="6"/>
  <c r="Q43" i="3"/>
  <c r="C35" i="7"/>
  <c r="H6" i="8"/>
  <c r="C16" i="8"/>
  <c r="J17" i="8"/>
  <c r="F13" i="8"/>
  <c r="D16" i="8"/>
  <c r="H23" i="8"/>
  <c r="V13" i="3"/>
  <c r="M18" i="3"/>
  <c r="Q6" i="3"/>
  <c r="R28" i="3"/>
  <c r="Q45" i="3"/>
  <c r="H11" i="6"/>
  <c r="H12" i="6"/>
  <c r="J14" i="6"/>
  <c r="H17" i="6"/>
  <c r="B19" i="6"/>
  <c r="G21" i="6"/>
  <c r="K22" i="6"/>
  <c r="J23" i="6"/>
  <c r="D25" i="6"/>
  <c r="B26" i="6"/>
  <c r="D9" i="7"/>
  <c r="C18" i="7"/>
  <c r="C28" i="7"/>
  <c r="G28" i="7" s="1"/>
  <c r="C33" i="7"/>
  <c r="E35" i="7"/>
  <c r="M11" i="8"/>
  <c r="G13" i="8"/>
  <c r="E16" i="8"/>
  <c r="M19" i="8"/>
  <c r="I23" i="8"/>
  <c r="U12" i="3"/>
  <c r="Q14" i="3"/>
  <c r="M12" i="3"/>
  <c r="U17" i="3"/>
  <c r="U33" i="3"/>
  <c r="R44" i="3"/>
  <c r="Q37" i="3"/>
  <c r="J10" i="6" s="1"/>
  <c r="J11" i="6"/>
  <c r="K12" i="6"/>
  <c r="K14" i="6"/>
  <c r="I15" i="6"/>
  <c r="I16" i="6"/>
  <c r="I17" i="6"/>
  <c r="C19" i="6"/>
  <c r="J21" i="6"/>
  <c r="M22" i="6"/>
  <c r="K23" i="6"/>
  <c r="E25" i="6"/>
  <c r="I25" i="6" s="1"/>
  <c r="C26" i="6"/>
  <c r="D18" i="7"/>
  <c r="E33" i="7"/>
  <c r="F35" i="7"/>
  <c r="N11" i="8"/>
  <c r="J13" i="8"/>
  <c r="F16" i="8"/>
  <c r="N19" i="8"/>
  <c r="C21" i="8"/>
  <c r="J23" i="8"/>
  <c r="T8" i="3"/>
  <c r="X8" i="3" s="1"/>
  <c r="Q26" i="3"/>
  <c r="T26" i="3" s="1"/>
  <c r="X26" i="3" s="1"/>
  <c r="L14" i="6"/>
  <c r="M23" i="6"/>
  <c r="D26" i="6"/>
  <c r="E18" i="7"/>
  <c r="G33" i="7"/>
  <c r="G16" i="8"/>
  <c r="T10" i="3"/>
  <c r="X10" i="3" s="1"/>
  <c r="J7" i="6"/>
  <c r="X9" i="3"/>
  <c r="T13" i="3"/>
  <c r="X13" i="3" s="1"/>
  <c r="F26" i="8"/>
  <c r="G26" i="8" s="1"/>
  <c r="F6" i="8"/>
  <c r="F6" i="5"/>
  <c r="P28" i="3"/>
  <c r="T28" i="3" s="1"/>
  <c r="X28" i="3" s="1"/>
  <c r="P41" i="3"/>
  <c r="T41" i="3" s="1"/>
  <c r="X41" i="3" s="1"/>
  <c r="P40" i="3"/>
  <c r="T40" i="3" s="1"/>
  <c r="X40" i="3" s="1"/>
  <c r="P6" i="3"/>
  <c r="F7" i="5"/>
  <c r="K8" i="8"/>
  <c r="P11" i="3"/>
  <c r="T11" i="3" s="1"/>
  <c r="X11" i="3" s="1"/>
  <c r="P16" i="3"/>
  <c r="T16" i="3" s="1"/>
  <c r="X16" i="3" s="1"/>
  <c r="P21" i="3"/>
  <c r="T21" i="3" s="1"/>
  <c r="X21" i="3" s="1"/>
  <c r="R23" i="3"/>
  <c r="P31" i="3"/>
  <c r="T31" i="3" s="1"/>
  <c r="X31" i="3" s="1"/>
  <c r="R33" i="3"/>
  <c r="U36" i="3"/>
  <c r="R37" i="3"/>
  <c r="K10" i="6" s="1"/>
  <c r="U41" i="3"/>
  <c r="J6" i="5"/>
  <c r="P43" i="3"/>
  <c r="P37" i="3"/>
  <c r="M7" i="3"/>
  <c r="U10" i="3"/>
  <c r="V10" i="3" s="1"/>
  <c r="U15" i="3"/>
  <c r="M17" i="3"/>
  <c r="U20" i="3"/>
  <c r="M22" i="3"/>
  <c r="U25" i="3"/>
  <c r="M27" i="3"/>
  <c r="U30" i="3"/>
  <c r="P38" i="3"/>
  <c r="V38" i="3" s="1"/>
  <c r="R43" i="3"/>
  <c r="P44" i="3"/>
  <c r="T44" i="3" s="1"/>
  <c r="X44" i="3" s="1"/>
  <c r="P14" i="3"/>
  <c r="T14" i="3" s="1"/>
  <c r="X14" i="3" s="1"/>
  <c r="P24" i="3"/>
  <c r="T24" i="3" s="1"/>
  <c r="X24" i="3" s="1"/>
  <c r="P29" i="3"/>
  <c r="P34" i="3"/>
  <c r="T34" i="3" s="1"/>
  <c r="U37" i="3"/>
  <c r="P45" i="3"/>
  <c r="T45" i="3" s="1"/>
  <c r="X45" i="3" s="1"/>
  <c r="M22" i="4"/>
  <c r="M42" i="4"/>
  <c r="M56" i="4"/>
  <c r="M64" i="4"/>
  <c r="M68" i="4"/>
  <c r="K26" i="8"/>
  <c r="Q29" i="3"/>
  <c r="J26" i="8" s="1"/>
  <c r="M36" i="3"/>
  <c r="H9" i="6"/>
  <c r="P39" i="3"/>
  <c r="F9" i="5"/>
  <c r="F9" i="8"/>
  <c r="P19" i="3"/>
  <c r="T19" i="3" s="1"/>
  <c r="X19" i="3" s="1"/>
  <c r="P7" i="3"/>
  <c r="T7" i="3" s="1"/>
  <c r="F8" i="8"/>
  <c r="F8" i="5"/>
  <c r="P12" i="3"/>
  <c r="T12" i="3" s="1"/>
  <c r="X12" i="3" s="1"/>
  <c r="P17" i="3"/>
  <c r="T17" i="3" s="1"/>
  <c r="X17" i="3" s="1"/>
  <c r="P22" i="3"/>
  <c r="T22" i="3" s="1"/>
  <c r="X22" i="3" s="1"/>
  <c r="P27" i="3"/>
  <c r="T27" i="3" s="1"/>
  <c r="X27" i="3" s="1"/>
  <c r="P32" i="3"/>
  <c r="T32" i="3" s="1"/>
  <c r="X32" i="3" s="1"/>
  <c r="F10" i="5"/>
  <c r="P15" i="3"/>
  <c r="T15" i="3" s="1"/>
  <c r="X15" i="3" s="1"/>
  <c r="P20" i="3"/>
  <c r="T20" i="3" s="1"/>
  <c r="X20" i="3" s="1"/>
  <c r="P30" i="3"/>
  <c r="T30" i="3" s="1"/>
  <c r="X30" i="3" s="1"/>
  <c r="P36" i="3"/>
  <c r="T36" i="3" s="1"/>
  <c r="X36" i="3" s="1"/>
  <c r="M37" i="3"/>
  <c r="S39" i="3"/>
  <c r="K7" i="8"/>
  <c r="P25" i="3"/>
  <c r="T25" i="3" s="1"/>
  <c r="X25" i="3" s="1"/>
  <c r="M6" i="3"/>
  <c r="B12" i="9"/>
  <c r="B11" i="9"/>
  <c r="U9" i="3"/>
  <c r="V9" i="3" s="1"/>
  <c r="U14" i="3"/>
  <c r="V14" i="3" s="1"/>
  <c r="U19" i="3"/>
  <c r="V19" i="3" s="1"/>
  <c r="U24" i="3"/>
  <c r="V24" i="3" s="1"/>
  <c r="U29" i="3"/>
  <c r="J8" i="5"/>
  <c r="U40" i="3"/>
  <c r="V40" i="3" s="1"/>
  <c r="P33" i="3"/>
  <c r="T33" i="3" s="1"/>
  <c r="H27" i="6"/>
  <c r="H7" i="6"/>
  <c r="I7" i="6" s="1"/>
  <c r="C7" i="6"/>
  <c r="B7" i="6"/>
  <c r="D10" i="6"/>
  <c r="C10" i="6"/>
  <c r="C9" i="6"/>
  <c r="D8" i="6"/>
  <c r="D7" i="6"/>
  <c r="U7" i="3"/>
  <c r="J8" i="8"/>
  <c r="M9" i="3"/>
  <c r="M34" i="3"/>
  <c r="P42" i="3"/>
  <c r="T42" i="3" s="1"/>
  <c r="X42" i="3" s="1"/>
  <c r="M45" i="3"/>
  <c r="U45" i="3"/>
  <c r="V45" i="3" s="1"/>
  <c r="B8" i="9"/>
  <c r="B7" i="9"/>
  <c r="B6" i="9"/>
  <c r="Q38" i="3"/>
  <c r="F11" i="7"/>
  <c r="M8" i="6"/>
  <c r="U42" i="3"/>
  <c r="V42" i="3" s="1"/>
  <c r="I10" i="6"/>
  <c r="D18" i="6"/>
  <c r="G16" i="7"/>
  <c r="E8" i="6"/>
  <c r="D9" i="6"/>
  <c r="D13" i="6"/>
  <c r="F20" i="6"/>
  <c r="G20" i="6"/>
  <c r="E20" i="6"/>
  <c r="I20" i="6" s="1"/>
  <c r="D20" i="6"/>
  <c r="M20" i="6"/>
  <c r="B20" i="6"/>
  <c r="J20" i="6"/>
  <c r="C20" i="6"/>
  <c r="B41" i="7"/>
  <c r="G6" i="8"/>
  <c r="J8" i="6"/>
  <c r="J9" i="6"/>
  <c r="L13" i="6"/>
  <c r="H20" i="6"/>
  <c r="B43" i="7"/>
  <c r="D14" i="6"/>
  <c r="H14" i="6"/>
  <c r="F14" i="6"/>
  <c r="C14" i="6"/>
  <c r="K20" i="6"/>
  <c r="D10" i="7"/>
  <c r="B10" i="7"/>
  <c r="F10" i="7"/>
  <c r="E10" i="7"/>
  <c r="C10" i="7"/>
  <c r="L8" i="6"/>
  <c r="B8" i="6"/>
  <c r="H8" i="6"/>
  <c r="E9" i="6"/>
  <c r="I9" i="6" s="1"/>
  <c r="M9" i="6"/>
  <c r="G13" i="6"/>
  <c r="J13" i="6"/>
  <c r="H13" i="6"/>
  <c r="E13" i="6"/>
  <c r="I13" i="6" s="1"/>
  <c r="L18" i="6"/>
  <c r="B18" i="6"/>
  <c r="J18" i="6"/>
  <c r="I18" i="6"/>
  <c r="H18" i="6"/>
  <c r="F18" i="6"/>
  <c r="L20" i="6"/>
  <c r="B42" i="7"/>
  <c r="C8" i="6"/>
  <c r="B9" i="6"/>
  <c r="F10" i="6"/>
  <c r="B10" i="6"/>
  <c r="B13" i="6"/>
  <c r="E14" i="6"/>
  <c r="I14" i="6" s="1"/>
  <c r="C18" i="6"/>
  <c r="M21" i="6"/>
  <c r="C21" i="6"/>
  <c r="E21" i="6"/>
  <c r="I21" i="6" s="1"/>
  <c r="D21" i="6"/>
  <c r="B21" i="6"/>
  <c r="K21" i="6"/>
  <c r="H21" i="6"/>
  <c r="E30" i="7"/>
  <c r="L24" i="6"/>
  <c r="F17" i="7"/>
  <c r="G17" i="7" s="1"/>
  <c r="D17" i="7"/>
  <c r="B30" i="7"/>
  <c r="D31" i="7"/>
  <c r="B31" i="7"/>
  <c r="H17" i="8"/>
  <c r="G17" i="8"/>
  <c r="F17" i="8"/>
  <c r="I17" i="8"/>
  <c r="N18" i="8"/>
  <c r="D18" i="8"/>
  <c r="M18" i="8"/>
  <c r="C18" i="8"/>
  <c r="L18" i="8"/>
  <c r="B18" i="8"/>
  <c r="E18" i="8"/>
  <c r="I19" i="6"/>
  <c r="L19" i="6"/>
  <c r="B24" i="6"/>
  <c r="M24" i="6"/>
  <c r="B11" i="7"/>
  <c r="B17" i="7"/>
  <c r="F21" i="7"/>
  <c r="C23" i="7"/>
  <c r="C30" i="7"/>
  <c r="C31" i="7"/>
  <c r="G31" i="7" s="1"/>
  <c r="B44" i="7"/>
  <c r="B48" i="7"/>
  <c r="J9" i="8"/>
  <c r="I9" i="8"/>
  <c r="M9" i="8" s="1"/>
  <c r="F15" i="8"/>
  <c r="E15" i="8"/>
  <c r="N15" i="8"/>
  <c r="D15" i="8"/>
  <c r="G15" i="8"/>
  <c r="B17" i="8"/>
  <c r="F18" i="8"/>
  <c r="C24" i="6"/>
  <c r="C11" i="7"/>
  <c r="G11" i="7" s="1"/>
  <c r="F12" i="7"/>
  <c r="D12" i="7"/>
  <c r="C17" i="7"/>
  <c r="G21" i="7"/>
  <c r="D23" i="7"/>
  <c r="B24" i="7"/>
  <c r="D30" i="7"/>
  <c r="E31" i="7"/>
  <c r="B33" i="7"/>
  <c r="E34" i="7"/>
  <c r="C34" i="7"/>
  <c r="G34" i="7" s="1"/>
  <c r="H7" i="8"/>
  <c r="F7" i="8"/>
  <c r="B9" i="8"/>
  <c r="F10" i="8"/>
  <c r="E10" i="8"/>
  <c r="N10" i="8"/>
  <c r="D10" i="8"/>
  <c r="H12" i="8"/>
  <c r="G12" i="8"/>
  <c r="F12" i="8"/>
  <c r="N12" i="8"/>
  <c r="B15" i="8"/>
  <c r="C17" i="8"/>
  <c r="G18" i="8"/>
  <c r="D11" i="7"/>
  <c r="E17" i="7"/>
  <c r="E23" i="7"/>
  <c r="D25" i="7"/>
  <c r="B25" i="7"/>
  <c r="F30" i="7"/>
  <c r="F31" i="7"/>
  <c r="B45" i="7"/>
  <c r="B7" i="8"/>
  <c r="N8" i="8"/>
  <c r="D8" i="8"/>
  <c r="H8" i="8" s="1"/>
  <c r="C8" i="8"/>
  <c r="G8" i="8" s="1"/>
  <c r="L8" i="8"/>
  <c r="B8" i="8"/>
  <c r="C9" i="8"/>
  <c r="B10" i="8"/>
  <c r="B12" i="8"/>
  <c r="N13" i="8"/>
  <c r="D13" i="8"/>
  <c r="M13" i="8"/>
  <c r="C13" i="8"/>
  <c r="L13" i="8"/>
  <c r="B13" i="8"/>
  <c r="C15" i="8"/>
  <c r="D17" i="8"/>
  <c r="H18" i="8"/>
  <c r="F25" i="8"/>
  <c r="E25" i="8"/>
  <c r="N25" i="8"/>
  <c r="D25" i="8"/>
  <c r="G25" i="8"/>
  <c r="K7" i="6"/>
  <c r="J16" i="6"/>
  <c r="D19" i="6"/>
  <c r="I22" i="6"/>
  <c r="F24" i="6"/>
  <c r="L26" i="6"/>
  <c r="F7" i="7"/>
  <c r="G7" i="7" s="1"/>
  <c r="D7" i="7"/>
  <c r="E11" i="7"/>
  <c r="C12" i="7"/>
  <c r="B19" i="7"/>
  <c r="F23" i="7"/>
  <c r="D24" i="7"/>
  <c r="C25" i="7"/>
  <c r="G25" i="7" s="1"/>
  <c r="D33" i="7"/>
  <c r="C7" i="8"/>
  <c r="G7" i="8" s="1"/>
  <c r="E8" i="8"/>
  <c r="D9" i="8"/>
  <c r="H9" i="8" s="1"/>
  <c r="C10" i="8"/>
  <c r="C12" i="8"/>
  <c r="E13" i="8"/>
  <c r="H15" i="8"/>
  <c r="E17" i="8"/>
  <c r="I18" i="8"/>
  <c r="B25" i="8"/>
  <c r="F14" i="7"/>
  <c r="D20" i="7"/>
  <c r="B20" i="7"/>
  <c r="K11" i="6"/>
  <c r="L16" i="6"/>
  <c r="F19" i="6"/>
  <c r="L22" i="6"/>
  <c r="H24" i="6"/>
  <c r="I27" i="6"/>
  <c r="B14" i="7"/>
  <c r="C20" i="7"/>
  <c r="F27" i="7"/>
  <c r="D27" i="7"/>
  <c r="K17" i="8"/>
  <c r="K18" i="8"/>
  <c r="H22" i="8"/>
  <c r="G22" i="8"/>
  <c r="F22" i="8"/>
  <c r="I22" i="8"/>
  <c r="N23" i="8"/>
  <c r="D23" i="8"/>
  <c r="M23" i="8"/>
  <c r="C23" i="8"/>
  <c r="L23" i="8"/>
  <c r="B23" i="8"/>
  <c r="E23" i="8"/>
  <c r="H25" i="8"/>
  <c r="I24" i="6"/>
  <c r="E7" i="7"/>
  <c r="C8" i="7"/>
  <c r="G8" i="7" s="1"/>
  <c r="F9" i="7"/>
  <c r="G9" i="7" s="1"/>
  <c r="E13" i="7"/>
  <c r="C14" i="7"/>
  <c r="D15" i="7"/>
  <c r="B15" i="7"/>
  <c r="G18" i="7"/>
  <c r="E19" i="7"/>
  <c r="E20" i="7"/>
  <c r="B21" i="7"/>
  <c r="D26" i="7"/>
  <c r="B27" i="7"/>
  <c r="G35" i="7"/>
  <c r="F36" i="7"/>
  <c r="G36" i="7" s="1"/>
  <c r="I7" i="8"/>
  <c r="M7" i="8" s="1"/>
  <c r="G9" i="8"/>
  <c r="I10" i="8"/>
  <c r="I12" i="8"/>
  <c r="H13" i="8"/>
  <c r="K15" i="8"/>
  <c r="L17" i="8"/>
  <c r="F20" i="8"/>
  <c r="E20" i="8"/>
  <c r="N20" i="8"/>
  <c r="D20" i="8"/>
  <c r="G20" i="8"/>
  <c r="B22" i="8"/>
  <c r="F23" i="8"/>
  <c r="I25" i="8"/>
  <c r="C11" i="6"/>
  <c r="L12" i="6"/>
  <c r="C16" i="6"/>
  <c r="L17" i="6"/>
  <c r="H19" i="6"/>
  <c r="C22" i="6"/>
  <c r="L23" i="6"/>
  <c r="J24" i="6"/>
  <c r="E26" i="6"/>
  <c r="I26" i="6" s="1"/>
  <c r="D8" i="7"/>
  <c r="B9" i="7"/>
  <c r="F13" i="7"/>
  <c r="G13" i="7" s="1"/>
  <c r="D14" i="7"/>
  <c r="C15" i="7"/>
  <c r="G15" i="7" s="1"/>
  <c r="G19" i="7"/>
  <c r="F20" i="7"/>
  <c r="F22" i="7"/>
  <c r="G22" i="7" s="1"/>
  <c r="D22" i="7"/>
  <c r="C27" i="7"/>
  <c r="G27" i="7" s="1"/>
  <c r="J7" i="8"/>
  <c r="I8" i="8"/>
  <c r="M8" i="8" s="1"/>
  <c r="K9" i="8"/>
  <c r="J10" i="8"/>
  <c r="J12" i="8"/>
  <c r="I13" i="8"/>
  <c r="L15" i="8"/>
  <c r="M17" i="8"/>
  <c r="B20" i="8"/>
  <c r="C22" i="8"/>
  <c r="G23" i="8"/>
  <c r="J25" i="8"/>
  <c r="K14" i="8"/>
  <c r="K19" i="8"/>
  <c r="K24" i="8"/>
  <c r="J6" i="8"/>
  <c r="J11" i="8"/>
  <c r="H14" i="8"/>
  <c r="J16" i="8"/>
  <c r="H19" i="8"/>
  <c r="J21" i="8"/>
  <c r="H24" i="8"/>
  <c r="K6" i="8"/>
  <c r="K11" i="8"/>
  <c r="I14" i="8"/>
  <c r="K16" i="8"/>
  <c r="I19" i="8"/>
  <c r="K21" i="8"/>
  <c r="I24" i="8"/>
  <c r="B6" i="8"/>
  <c r="B11" i="8"/>
  <c r="B16" i="8"/>
  <c r="B21" i="8"/>
  <c r="C48" i="7" l="1"/>
  <c r="V18" i="3"/>
  <c r="X23" i="3"/>
  <c r="L9" i="6"/>
  <c r="K27" i="6"/>
  <c r="B14" i="9"/>
  <c r="V7" i="3"/>
  <c r="X33" i="3"/>
  <c r="T37" i="3"/>
  <c r="C44" i="7"/>
  <c r="M7" i="6"/>
  <c r="G12" i="7"/>
  <c r="V29" i="3"/>
  <c r="G14" i="7"/>
  <c r="G10" i="7"/>
  <c r="J9" i="7" s="1"/>
  <c r="G30" i="7"/>
  <c r="T29" i="3"/>
  <c r="X29" i="3" s="1"/>
  <c r="M27" i="6"/>
  <c r="J27" i="6"/>
  <c r="G23" i="7"/>
  <c r="J21" i="7"/>
  <c r="J18" i="7"/>
  <c r="J22" i="7"/>
  <c r="J27" i="7"/>
  <c r="V15" i="3"/>
  <c r="L9" i="8"/>
  <c r="G20" i="7"/>
  <c r="H10" i="5"/>
  <c r="G10" i="5"/>
  <c r="V31" i="3"/>
  <c r="H9" i="5"/>
  <c r="G9" i="5"/>
  <c r="J9" i="5"/>
  <c r="H6" i="5"/>
  <c r="G6" i="5"/>
  <c r="V27" i="3"/>
  <c r="V12" i="3"/>
  <c r="I8" i="6"/>
  <c r="J10" i="5"/>
  <c r="T38" i="3"/>
  <c r="X38" i="3" s="1"/>
  <c r="V21" i="3"/>
  <c r="V16" i="3"/>
  <c r="C45" i="7"/>
  <c r="T39" i="3"/>
  <c r="X39" i="3" s="1"/>
  <c r="V30" i="3"/>
  <c r="V34" i="3"/>
  <c r="T43" i="3"/>
  <c r="X43" i="3" s="1"/>
  <c r="V43" i="3"/>
  <c r="V32" i="3"/>
  <c r="M10" i="6"/>
  <c r="V37" i="3"/>
  <c r="V25" i="3"/>
  <c r="V22" i="3"/>
  <c r="G8" i="5"/>
  <c r="H8" i="5"/>
  <c r="L27" i="6"/>
  <c r="L7" i="6"/>
  <c r="X34" i="3"/>
  <c r="V41" i="3"/>
  <c r="H7" i="5"/>
  <c r="J7" i="5"/>
  <c r="G7" i="5"/>
  <c r="V28" i="3"/>
  <c r="V44" i="3"/>
  <c r="V20" i="3"/>
  <c r="I26" i="8"/>
  <c r="M26" i="8" s="1"/>
  <c r="I6" i="8"/>
  <c r="M6" i="8" s="1"/>
  <c r="T6" i="3"/>
  <c r="V33" i="3"/>
  <c r="V11" i="3"/>
  <c r="V6" i="3"/>
  <c r="C42" i="7"/>
  <c r="C46" i="7"/>
  <c r="C41" i="7"/>
  <c r="C47" i="7"/>
  <c r="C43" i="7"/>
  <c r="L7" i="8"/>
  <c r="X7" i="3"/>
  <c r="N7" i="8" s="1"/>
  <c r="V36" i="3"/>
  <c r="V17" i="3"/>
  <c r="V39" i="3"/>
  <c r="J33" i="7" l="1"/>
  <c r="J17" i="7"/>
  <c r="J26" i="7"/>
  <c r="J7" i="7"/>
  <c r="J12" i="7"/>
  <c r="J14" i="7"/>
  <c r="J13" i="7"/>
  <c r="J32" i="7"/>
  <c r="J20" i="7"/>
  <c r="N20" i="7" s="1"/>
  <c r="J34" i="7"/>
  <c r="X37" i="3"/>
  <c r="L10" i="6"/>
  <c r="N9" i="8"/>
  <c r="J8" i="7"/>
  <c r="J11" i="7"/>
  <c r="J15" i="7"/>
  <c r="J16" i="7"/>
  <c r="J31" i="7"/>
  <c r="J29" i="7"/>
  <c r="K29" i="7" s="1"/>
  <c r="J23" i="7"/>
  <c r="L33" i="7"/>
  <c r="K33" i="7"/>
  <c r="O33" i="7"/>
  <c r="N33" i="7"/>
  <c r="M33" i="7"/>
  <c r="O7" i="7"/>
  <c r="L7" i="7"/>
  <c r="K7" i="7"/>
  <c r="M17" i="7"/>
  <c r="L17" i="7"/>
  <c r="K17" i="7"/>
  <c r="O17" i="7"/>
  <c r="N17" i="7"/>
  <c r="L11" i="7"/>
  <c r="K11" i="7"/>
  <c r="O11" i="7"/>
  <c r="K8" i="5"/>
  <c r="M8" i="5" s="1"/>
  <c r="L13" i="7"/>
  <c r="O13" i="7"/>
  <c r="K13" i="7"/>
  <c r="N31" i="7"/>
  <c r="M31" i="7"/>
  <c r="L31" i="7"/>
  <c r="K31" i="7"/>
  <c r="O31" i="7"/>
  <c r="L16" i="7"/>
  <c r="O16" i="7"/>
  <c r="N16" i="7"/>
  <c r="M16" i="7"/>
  <c r="K16" i="7"/>
  <c r="K7" i="5"/>
  <c r="M7" i="5" s="1"/>
  <c r="K9" i="5"/>
  <c r="M9" i="5"/>
  <c r="L20" i="7"/>
  <c r="N23" i="7"/>
  <c r="L23" i="7"/>
  <c r="M23" i="7"/>
  <c r="K23" i="7"/>
  <c r="O23" i="7"/>
  <c r="L21" i="7"/>
  <c r="O21" i="7"/>
  <c r="N21" i="7"/>
  <c r="M21" i="7"/>
  <c r="K21" i="7"/>
  <c r="O27" i="7"/>
  <c r="N27" i="7"/>
  <c r="M27" i="7"/>
  <c r="L27" i="7"/>
  <c r="K27" i="7"/>
  <c r="K12" i="7"/>
  <c r="O12" i="7"/>
  <c r="L12" i="7"/>
  <c r="L26" i="7"/>
  <c r="O26" i="7"/>
  <c r="N26" i="7"/>
  <c r="M26" i="7"/>
  <c r="K26" i="7"/>
  <c r="L8" i="7"/>
  <c r="O8" i="7"/>
  <c r="K8" i="7"/>
  <c r="M32" i="7"/>
  <c r="K32" i="7"/>
  <c r="L32" i="7"/>
  <c r="O32" i="7"/>
  <c r="N32" i="7"/>
  <c r="O29" i="7"/>
  <c r="N29" i="7"/>
  <c r="M29" i="7"/>
  <c r="K10" i="5"/>
  <c r="M10" i="5" s="1"/>
  <c r="N15" i="7"/>
  <c r="O15" i="7"/>
  <c r="M15" i="7"/>
  <c r="L15" i="7"/>
  <c r="K15" i="7"/>
  <c r="O34" i="7"/>
  <c r="K34" i="7"/>
  <c r="N34" i="7"/>
  <c r="M34" i="7"/>
  <c r="L34" i="7"/>
  <c r="O9" i="7"/>
  <c r="L9" i="7"/>
  <c r="K9" i="7"/>
  <c r="O22" i="7"/>
  <c r="N22" i="7"/>
  <c r="M22" i="7"/>
  <c r="L22" i="7"/>
  <c r="K22" i="7"/>
  <c r="N18" i="7"/>
  <c r="L18" i="7"/>
  <c r="O18" i="7"/>
  <c r="M18" i="7"/>
  <c r="K18" i="7"/>
  <c r="O14" i="7"/>
  <c r="L14" i="7"/>
  <c r="K14" i="7"/>
  <c r="J10" i="7"/>
  <c r="J25" i="7"/>
  <c r="J19" i="7"/>
  <c r="L26" i="8"/>
  <c r="B10" i="9"/>
  <c r="B9" i="9"/>
  <c r="X6" i="3"/>
  <c r="L6" i="8"/>
  <c r="J28" i="7"/>
  <c r="J35" i="7"/>
  <c r="J24" i="7"/>
  <c r="K6" i="5"/>
  <c r="M6" i="5" s="1"/>
  <c r="J30" i="7"/>
  <c r="J36" i="7"/>
  <c r="L29" i="7" l="1"/>
  <c r="K20" i="7"/>
  <c r="M20" i="7"/>
  <c r="O20" i="7"/>
  <c r="N30" i="7"/>
  <c r="M30" i="7"/>
  <c r="L30" i="7"/>
  <c r="K30" i="7"/>
  <c r="O30" i="7"/>
  <c r="N25" i="7"/>
  <c r="O25" i="7"/>
  <c r="M25" i="7"/>
  <c r="L25" i="7"/>
  <c r="K25" i="7"/>
  <c r="L24" i="7"/>
  <c r="K24" i="7"/>
  <c r="O24" i="7"/>
  <c r="N24" i="7"/>
  <c r="M24" i="7"/>
  <c r="N35" i="7"/>
  <c r="L35" i="7"/>
  <c r="O35" i="7"/>
  <c r="M35" i="7"/>
  <c r="K35" i="7"/>
  <c r="O28" i="7"/>
  <c r="M28" i="7"/>
  <c r="N28" i="7"/>
  <c r="L28" i="7"/>
  <c r="M8" i="7" s="1"/>
  <c r="K28" i="7"/>
  <c r="O10" i="7"/>
  <c r="L10" i="7"/>
  <c r="K10" i="7"/>
  <c r="N26" i="8"/>
  <c r="N6" i="8"/>
  <c r="K36" i="7"/>
  <c r="O36" i="7"/>
  <c r="N36" i="7"/>
  <c r="M36" i="7"/>
  <c r="L36" i="7"/>
  <c r="O19" i="7"/>
  <c r="N19" i="7"/>
  <c r="M19" i="7"/>
  <c r="L19" i="7"/>
  <c r="K19" i="7"/>
  <c r="N14" i="7" l="1"/>
  <c r="N13" i="7"/>
  <c r="N8" i="7"/>
  <c r="M10" i="7"/>
  <c r="M12" i="7"/>
  <c r="M11" i="7"/>
  <c r="N12" i="7"/>
  <c r="M14" i="7"/>
  <c r="M13" i="7"/>
  <c r="M7" i="7"/>
  <c r="N9" i="7"/>
  <c r="N11" i="7"/>
  <c r="N10" i="7"/>
  <c r="N7" i="7"/>
  <c r="M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SAMITECH</author>
  </authors>
  <commentList>
    <comment ref="G5" authorId="0" shapeId="0" xr:uid="{00000000-0006-0000-0100-000001000000}">
      <text>
        <r>
          <rPr>
            <sz val="11"/>
            <color theme="1"/>
            <rFont val="Calibri"/>
            <family val="2"/>
            <scheme val="minor"/>
          </rPr>
          <t>Tự tính từ giờ bắt đầu, kết thúc — ca đêm qua nửa đêm vẫn đúng.</t>
        </r>
      </text>
    </comment>
    <comment ref="L5" authorId="0" shapeId="0" xr:uid="{00000000-0006-0000-0100-000002000000}">
      <text>
        <r>
          <rPr>
            <sz val="11"/>
            <color theme="1"/>
            <rFont val="Calibri"/>
            <family val="2"/>
            <scheme val="minor"/>
          </rPr>
          <t>Thời gian theo kế hoạch để làm ra MỘT sản phẩm, riêng cho từng mã hàng. Đặt dài hơn thực tế thì mọi phần trăm "so với lý thuyết" bị thổi phồng, có khi vượt 100%.</t>
        </r>
      </text>
    </comment>
    <comment ref="P5" authorId="0" shapeId="0" xr:uid="{00000000-0006-0000-0100-000003000000}">
      <text>
        <r>
          <rPr>
            <sz val="11"/>
            <color theme="1"/>
            <rFont val="Calibri"/>
            <family val="2"/>
            <scheme val="minor"/>
          </rPr>
          <t>Có kế hoạch = quyết TRƯỚC khi máy dừng (bảo trì định kỳ, không có đơn hàng): trừ khỏi thời gian kế hoạch. Mọi lý do khác là Ngoài kế hoạch — kể cả đổi khuôn.</t>
        </r>
      </text>
    </comment>
    <comment ref="Q5" authorId="0" shapeId="0" xr:uid="{00000000-0006-0000-0100-000004000000}">
      <text>
        <r>
          <rPr>
            <sz val="11"/>
            <color theme="1"/>
            <rFont val="Calibri"/>
            <family val="2"/>
            <scheme val="minor"/>
          </rPr>
          <t>Bộ phận cần xử lý khi lý do này lặp lại — không phải để quy lỗi cho người đứng máy.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SAMITECH</author>
  </authors>
  <commentList>
    <comment ref="H5" authorId="0" shapeId="0" xr:uid="{00000000-0006-0000-0200-000001000000}">
      <text>
        <r>
          <rPr>
            <sz val="11"/>
            <color theme="1"/>
            <rFont val="Calibri"/>
            <family val="2"/>
            <scheme val="minor"/>
          </rPr>
          <t>Tổng số làm ra, GỒM cả hàng lỗi. Bộ đếm của máy đếm CHU KỲ, không tự trừ hàng lỗi.</t>
        </r>
      </text>
    </comment>
    <comment ref="J5" authorId="0" shapeId="0" xr:uid="{00000000-0006-0000-0200-000002000000}">
      <text>
        <r>
          <rPr>
            <sz val="11"/>
            <color theme="1"/>
            <rFont val="Calibri"/>
            <family val="2"/>
            <scheme val="minor"/>
          </rPr>
          <t>Ngày giờ số này được nhập vào tệp. Cột "Trễ nhập" đo con số đến tay người cần muộn bao lâu.</t>
        </r>
      </text>
    </comment>
    <comment ref="K5" authorId="0" shapeId="0" xr:uid="{00000000-0006-0000-0200-000003000000}">
      <text>
        <r>
          <rPr>
            <sz val="11"/>
            <color theme="1"/>
            <rFont val="Calibri"/>
            <family val="2"/>
            <scheme val="minor"/>
          </rPr>
          <t>Đừng ghi tên người vào đây — cột ghi chú không cộng, không lọc được. Người đứng máy có cột riêng.</t>
        </r>
      </text>
    </comment>
    <comment ref="P5" authorId="0" shapeId="0" xr:uid="{00000000-0006-0000-0200-000004000000}">
      <text>
        <r>
          <rPr>
            <sz val="11"/>
            <color theme="1"/>
            <rFont val="Calibri"/>
            <family val="2"/>
            <scheme val="minor"/>
          </rPr>
          <t>Thời gian ca − nghỉ theo lịch − dừng CÓ KẾ HOẠCH (lấy từ trang 3).</t>
        </r>
      </text>
    </comment>
    <comment ref="T5" authorId="0" shapeId="0" xr:uid="{00000000-0006-0000-0200-000005000000}">
      <text>
        <r>
          <rPr>
            <sz val="11"/>
            <color theme="1"/>
            <rFont val="Calibri"/>
            <family val="2"/>
            <scheme val="minor"/>
          </rPr>
          <t>Thời gian kế hoạch − dừng đã ghi − phút chạy theo chu kỳ chuẩn. Đây là phút máy chạy chậm hoặc dừng mà không ai ghi. ÂM nghĩa là máy chạy nhanh hơn chu kỳ chuẩn — chuẩn đặt rộng.</t>
        </r>
      </text>
    </comment>
    <comment ref="V5" authorId="0" shapeId="0" xr:uid="{00000000-0006-0000-0200-000006000000}">
      <text>
        <r>
          <rPr>
            <sz val="11"/>
            <color theme="1"/>
            <rFont val="Calibri"/>
            <family val="2"/>
            <scheme val="minor"/>
          </rPr>
          <t>Phút làm ra hàng đạt ÷ thời gian kế hoạch = hàng đạt × chu kỳ chuẩn ÷ thời gian kế hoạch. Đây chính là OEE — xem bài "OEE là gì" trên oee.vn.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SAMITECH</author>
  </authors>
  <commentList>
    <comment ref="I5" authorId="0" shapeId="0" xr:uid="{00000000-0006-0000-0300-000001000000}">
      <text>
        <r>
          <rPr>
            <sz val="11"/>
            <color theme="1"/>
            <rFont val="Calibri"/>
            <family val="2"/>
            <scheme val="minor"/>
          </rPr>
          <t>Kết thúc − bắt đầu. Qua nửa đêm vẫn đúng.</t>
        </r>
      </text>
    </comment>
    <comment ref="M5" authorId="0" shapeId="0" xr:uid="{00000000-0006-0000-0300-000002000000}">
      <text>
        <r>
          <rPr>
            <sz val="11"/>
            <color theme="1"/>
            <rFont val="Calibri"/>
            <family val="2"/>
            <scheme val="minor"/>
          </rPr>
          <t>1 nếu số phút chia hết cho 5. Đọc giờ từ đồng hồ đến từng phút thì chỉ khoảng 1/5 số lần dừng rơi vào số chia hết cho 5. Tỷ lệ cao hơn nhiều (trang 8) thường là giờ nhớ lại cuối ca.</t>
        </r>
      </text>
    </comment>
  </commentList>
</comments>
</file>

<file path=xl/sharedStrings.xml><?xml version="1.0" encoding="utf-8"?>
<sst xmlns="http://schemas.openxmlformats.org/spreadsheetml/2006/main" count="782" uniqueCount="239">
  <si>
    <t>BỘ MẪU EXCEL QUẢN LÝ SẢN XUẤT THEO MÁY, THEO CA</t>
  </si>
  <si>
    <t>Nhập hai trang — sản lượng theo ca và nhật ký dừng máy. Năm trang còn lại tự lên. Số điền sẵn là DỮ LIỆU MẪU, không phải số của nhà máy nào.</t>
  </si>
  <si>
    <t>CÁC TRANG</t>
  </si>
  <si>
    <t>1 Danh mục</t>
  </si>
  <si>
    <t>Khai một lần: máy, ca, mã hàng + chu kỳ chuẩn, lý do dừng + bộ phận xử lý, người đứng máy, ngày nghỉ trong tuần.</t>
  </si>
  <si>
    <t>2 Sản lượng theo ca</t>
  </si>
  <si>
    <t>NHẬP mỗi ca: một dòng cho mỗi máy — người đứng máy, mã hàng, lệnh, kế hoạch, sản lượng, hàng lỗi. Tự tính % đạt kế hoạch, phút chưa ai giải thích, đạt so với lý thuyết (= OEE), trễ nhập, cột Cần xem.</t>
  </si>
  <si>
    <t>3 Nhật ký dừng máy</t>
  </si>
  <si>
    <t>NHẬP mỗi lần dừng: giờ bắt đầu, giờ kết thúc, mã lý do. Tự tính số phút, loại, bộ phận xử lý.</t>
  </si>
  <si>
    <t>4 Tiến độ lệnh</t>
  </si>
  <si>
    <t>Theo dõi tiến độ lệnh sản xuất: đã làm, còn lại, số ca còn cần, tình trạng Kịp / Nguy cơ trễ.</t>
  </si>
  <si>
    <t>5 Báo cáo ca</t>
  </si>
  <si>
    <t>Báo cáo ca in một trang: chọn ngày + ca, bảng theo máy, chỗ ký.</t>
  </si>
  <si>
    <t>6 Dừng máy theo lý do</t>
  </si>
  <si>
    <t>Pareto dừng máy: lý do nào ăn nhiều phút nhất, bộ phận nào cần xử lý — lọc theo ngày, theo máy.</t>
  </si>
  <si>
    <t>7 Tổng hợp theo máy</t>
  </si>
  <si>
    <t>Tổng hợp theo máy trong một khoảng ngày — cộng rồi mới chia.</t>
  </si>
  <si>
    <t>8 Tự kiểm dữ liệu</t>
  </si>
  <si>
    <t>Tự kiểm: số trong tệp đáng tin tới đâu, đến tay người cần muộn bao lâu.</t>
  </si>
  <si>
    <t>BỐN BƯỚC</t>
  </si>
  <si>
    <t>1. Trang 1: sửa danh mục cho đúng xưởng của mình. Chu kỳ chuẩn của từng mã hàng là con số quan trọng nhất.</t>
  </si>
  <si>
    <t>2. Mỗi ca: trang 2 một dòng cho mỗi máy; trang 3 một dòng cho mỗi lần dừng, giờ đọc từ đồng hồ.</t>
  </si>
  <si>
    <t>3. Cuối ca: trang 5 chọn ngày + ca, in ra, ký.</t>
  </si>
  <si>
    <t>4. Cuối tuần: trang 6 xem lý do dừng nhiều nhất, trang 4 xem lệnh nào nguy cơ trễ, trang 8 xem số có đáng tin không.</t>
  </si>
  <si>
    <t>BỐN LUẬT GIỮ TỆP KHÔNG VỠ</t>
  </si>
  <si>
    <t>• Một dòng là một sự kiện (một máy trong một ca, hoặc một lần dừng). Không gộp ô, không chèn dòng tổng giữa bảng.</t>
  </si>
  <si>
    <t>• Máy, ca, mã hàng, lý do, người: CHỌN từ danh sách, không gõ tay.</t>
  </si>
  <si>
    <t>• Người đứng máy có cột riêng — đừng để tên trong ghi chú.</t>
  </si>
  <si>
    <t>• Ghi "Nhập lúc": biết số đến muộn bao lâu là biết nó còn dùng được vào việc gì.</t>
  </si>
  <si>
    <t>XOÁ DỮ LIỆU MẪU</t>
  </si>
  <si>
    <t>Trang 2: xoá A6:K505. Trang 3: xoá A6:H1005. Trang 4: xoá A6:E55. Đừng xoá cột xám — đó là công thức.</t>
  </si>
  <si>
    <t>Chỉ dùng hàm có từ Excel 2010. Bài giải thích cách dùng và sáu dấu hiệu đã tới lúc cần phần mềm:</t>
  </si>
  <si>
    <t>https://oee.vn/bai-viet/quan-ly-san-xuat-bang-excel/</t>
  </si>
  <si>
    <t>Mẫu tính OEE theo ca (cùng bộ): https://oee.vn/bai-viet/oee-la-gi/</t>
  </si>
  <si>
    <t>Mẫu miễn phí của OEE.vn (SAMITECH) — được dùng, sửa và chia sẻ tự do.</t>
  </si>
  <si>
    <t>DANH MỤC — KHAI MỘT LẦN, CÁC TRANG KHÁC CHỌN TỪ ĐÂY</t>
  </si>
  <si>
    <t>Tên máy, ca, mã hàng, lý do dừng, người đứng máy chỉ khai ở đây. Trang khác chọn từ danh sách, không gõ tay — "Máy 1", "máy1", "M01" là ba máy khác nhau với Excel.</t>
  </si>
  <si>
    <t>← Về trang Bắt đầu</t>
  </si>
  <si>
    <t>MÁY</t>
  </si>
  <si>
    <t>CA LÀM VIỆC</t>
  </si>
  <si>
    <t>MÃ HÀNG</t>
  </si>
  <si>
    <t>LÝ DO DỪNG MÁY</t>
  </si>
  <si>
    <t>NGƯỜI ĐỨNG MÁY</t>
  </si>
  <si>
    <t>BỘ PHẬN</t>
  </si>
  <si>
    <t>Máy</t>
  </si>
  <si>
    <t>Nhóm máy</t>
  </si>
  <si>
    <t>Ca</t>
  </si>
  <si>
    <t>Bắt đầu</t>
  </si>
  <si>
    <t>Kết thúc</t>
  </si>
  <si>
    <t>Thời gian ca (phút)</t>
  </si>
  <si>
    <t>Nghỉ theo lịch (phút)</t>
  </si>
  <si>
    <t>Mã hàng</t>
  </si>
  <si>
    <t>Tên hàng</t>
  </si>
  <si>
    <t>Chu kỳ chuẩn (giây/sp)</t>
  </si>
  <si>
    <t>Mã</t>
  </si>
  <si>
    <t>Lý do</t>
  </si>
  <si>
    <t>Loại</t>
  </si>
  <si>
    <t>Bộ phận xử lý</t>
  </si>
  <si>
    <t>Mã NV</t>
  </si>
  <si>
    <t>Họ tên</t>
  </si>
  <si>
    <t>Bộ phận</t>
  </si>
  <si>
    <t>Máy tiện 1</t>
  </si>
  <si>
    <t>Tiện CNC</t>
  </si>
  <si>
    <t>Ca 1</t>
  </si>
  <si>
    <t>MH-A</t>
  </si>
  <si>
    <t>Trục dẫn</t>
  </si>
  <si>
    <t>H01</t>
  </si>
  <si>
    <t>Hỏng máy — cơ khí</t>
  </si>
  <si>
    <t>Ngoài kế hoạch</t>
  </si>
  <si>
    <t>Bảo trì</t>
  </si>
  <si>
    <t>NV-01</t>
  </si>
  <si>
    <t>Nguyễn Văn A</t>
  </si>
  <si>
    <t>Máy tiện 2</t>
  </si>
  <si>
    <t>Ca 2</t>
  </si>
  <si>
    <t>MH-B</t>
  </si>
  <si>
    <t>Bạc lót</t>
  </si>
  <si>
    <t>H02</t>
  </si>
  <si>
    <t>Hỏng máy — điện, điều khiển</t>
  </si>
  <si>
    <t>NV-02</t>
  </si>
  <si>
    <t>Trần Thị B</t>
  </si>
  <si>
    <t>Kế hoạch – kho</t>
  </si>
  <si>
    <t>Máy phay 1</t>
  </si>
  <si>
    <t>Phay CNC</t>
  </si>
  <si>
    <t>MH-C</t>
  </si>
  <si>
    <t>Mặt bích</t>
  </si>
  <si>
    <t>C01</t>
  </si>
  <si>
    <t>Đổi mã hàng, thay khuôn, gá</t>
  </si>
  <si>
    <t>Sản xuất</t>
  </si>
  <si>
    <t>NV-03</t>
  </si>
  <si>
    <t>Lê Văn C</t>
  </si>
  <si>
    <t>Máy dập 1</t>
  </si>
  <si>
    <t>Dập</t>
  </si>
  <si>
    <t>MH-D</t>
  </si>
  <si>
    <t>Tấm đệm</t>
  </si>
  <si>
    <t>C02</t>
  </si>
  <si>
    <t>Chỉnh máy, chạy mẫu đầu</t>
  </si>
  <si>
    <t>NV-04</t>
  </si>
  <si>
    <t>Phạm Thị D</t>
  </si>
  <si>
    <t>QC</t>
  </si>
  <si>
    <t>MH-E</t>
  </si>
  <si>
    <t>Kẹp chữ U</t>
  </si>
  <si>
    <t>V01</t>
  </si>
  <si>
    <t>Chờ vật tư, phôi</t>
  </si>
  <si>
    <t>NV-05</t>
  </si>
  <si>
    <t>Hoàng Văn E</t>
  </si>
  <si>
    <t>N01</t>
  </si>
  <si>
    <t>Chờ người, thiếu người</t>
  </si>
  <si>
    <t>NV-06</t>
  </si>
  <si>
    <t>Võ Thị G</t>
  </si>
  <si>
    <t>Q01</t>
  </si>
  <si>
    <t>Chờ QC kiểm tra</t>
  </si>
  <si>
    <t>NV-07</t>
  </si>
  <si>
    <t>Đặng Văn H</t>
  </si>
  <si>
    <t>Ngày nghỉ trong tuần</t>
  </si>
  <si>
    <t>X01</t>
  </si>
  <si>
    <t>Dừng khác</t>
  </si>
  <si>
    <t>NV-08</t>
  </si>
  <si>
    <t>Bùi Thị K</t>
  </si>
  <si>
    <t>0000001</t>
  </si>
  <si>
    <t>K01</t>
  </si>
  <si>
    <t>Bảo trì định kỳ</t>
  </si>
  <si>
    <t>Có kế hoạch</t>
  </si>
  <si>
    <t>Bảy chữ số, Thứ Hai → Chủ nhật; 1 = nghỉ. 0000001 = chỉ nghỉ Chủ nhật; 0000011 = nghỉ Thứ Bảy, Chủ nhật. Trang 4 dùng để đếm số ca còn lại tới hạn.</t>
  </si>
  <si>
    <t>K02</t>
  </si>
  <si>
    <t>Không có đơn hàng</t>
  </si>
  <si>
    <t>SẢN LƯỢNG VÀ TIẾN ĐỘ THEO MÁY × CA — MỖI DÒNG MỘT MÁY TRONG MỘT CA</t>
  </si>
  <si>
    <t>Ô nền vàng là ô cần điền; cột xám tự tính — đừng gõ đè. Dữ liệu đang có là DỮ LIỆU MẪU: xoá vùng A6:K505 rồi ghi số của mình.</t>
  </si>
  <si>
    <t>Ngày</t>
  </si>
  <si>
    <t>Người đứng máy</t>
  </si>
  <si>
    <t>Lệnh sản xuất</t>
  </si>
  <si>
    <t>Kế hoạch (sp)</t>
  </si>
  <si>
    <t>Sản lượng (sp, gồm lỗi)</t>
  </si>
  <si>
    <t>Hàng lỗi (sp)</t>
  </si>
  <si>
    <t>Nhập lúc</t>
  </si>
  <si>
    <t>Ghi chú</t>
  </si>
  <si>
    <t>Hàng đạt (sp)</t>
  </si>
  <si>
    <t>% đạt kế hoạch</t>
  </si>
  <si>
    <t>Tỷ lệ lỗi</t>
  </si>
  <si>
    <t>Chu kỳ chuẩn (giây)</t>
  </si>
  <si>
    <t>Thời gian kế hoạch (phút)</t>
  </si>
  <si>
    <t>Dừng ngoài kế hoạch (phút)</t>
  </si>
  <si>
    <t>Số lần dừng</t>
  </si>
  <si>
    <t>Phút chạy theo chu kỳ chuẩn</t>
  </si>
  <si>
    <t>Phút chưa ai giải thích</t>
  </si>
  <si>
    <t>Phút làm ra hàng đạt</t>
  </si>
  <si>
    <t>Đạt so với lý thuyết (= OEE)</t>
  </si>
  <si>
    <t>Trễ nhập (ngày)</t>
  </si>
  <si>
    <t>Cần xem</t>
  </si>
  <si>
    <t>Khoá ngày|ca|máy</t>
  </si>
  <si>
    <t>LSX-2609-01</t>
  </si>
  <si>
    <t>LSX-2609-02</t>
  </si>
  <si>
    <t>LSX-2609-03</t>
  </si>
  <si>
    <t>LSX-2609-04</t>
  </si>
  <si>
    <t>NV-06 nghỉ, NV-02 đứng thay</t>
  </si>
  <si>
    <t>LSX-2609-05</t>
  </si>
  <si>
    <t>NHẬT KÝ DỪNG MÁY — MỖI DÒNG MỘT LẦN DỪNG</t>
  </si>
  <si>
    <t>Ghi giờ bắt đầu, giờ kết thúc ĐỌC TỪ ĐỒNG HỒ, chọn mã lý do. Cột xám tự tính. Dữ liệu đang có là DỮ LIỆU MẪU: xoá vùng A6:H1005 rồi ghi của mình.</t>
  </si>
  <si>
    <t>Mã lý do</t>
  </si>
  <si>
    <t>Người ghi</t>
  </si>
  <si>
    <t>Phút</t>
  </si>
  <si>
    <t>Số phút chia hết cho 5</t>
  </si>
  <si>
    <t>THEO DÕI TIẾN ĐỘ LỆNH SẢN XUẤT — TỰ CỘNG TỪ TRANG 2</t>
  </si>
  <si>
    <t>Khai lệnh ở ô vàng; đã làm, còn lại, số ca còn cần tự tính từ sản lượng theo ca. Dữ liệu đang có là DỮ LIỆU MẪU.</t>
  </si>
  <si>
    <t>Tính tới hết ngày:</t>
  </si>
  <si>
    <t>Ca còn lại tới hạn = ngày làm việc sau ngày này, tới hết ngày cần xong (bỏ ngày nghỉ khai ở trang 1) × số ca khai ở trang 1. Giả định lệnh chạy MỘT máy mỗi ca, với tốc độ bình quân đã qua.</t>
  </si>
  <si>
    <t>Số lượng lệnh (sp)</t>
  </si>
  <si>
    <t>Ngày bắt đầu</t>
  </si>
  <si>
    <t>Ngày cần xong</t>
  </si>
  <si>
    <t>Đã làm (hàng đạt)</t>
  </si>
  <si>
    <t>Còn lại (sp)</t>
  </si>
  <si>
    <t>% hoàn thành</t>
  </si>
  <si>
    <t>Số ca đã chạy</t>
  </si>
  <si>
    <t>Bình quân mỗi ca (sp)</t>
  </si>
  <si>
    <t>Số ca còn cần</t>
  </si>
  <si>
    <t>Ca còn lại tới hạn</t>
  </si>
  <si>
    <t>Tình trạng</t>
  </si>
  <si>
    <t>BÁO CÁO CA — IN MỘT TRANG</t>
  </si>
  <si>
    <t>Chọn ngày và ca ở ô vàng; bảng tự lấy từ trang 2 và trang 3. In: Tệp → In, khổ ngang.</t>
  </si>
  <si>
    <t>Ngày:</t>
  </si>
  <si>
    <t>Ca:</t>
  </si>
  <si>
    <t>Lệnh</t>
  </si>
  <si>
    <t>Sản lượng (sp)</t>
  </si>
  <si>
    <t>Cả ca</t>
  </si>
  <si>
    <t>Ghi chú ca:</t>
  </si>
  <si>
    <t>Tổ trưởng ký</t>
  </si>
  <si>
    <t>Quản đốc ký</t>
  </si>
  <si>
    <t>Dòng máy trống = máy không có dòng nào ở trang 2 trong ca này. "Đạt so với lý thuyết" trên 100% tô đỏ: gần như luôn là chu kỳ chuẩn đặt dài hơn thực tế.</t>
  </si>
  <si>
    <t>DỪNG MÁY THEO LÝ DO — LÝ DO NÀO ĂN NHIỀU PHÚT NHẤT</t>
  </si>
  <si>
    <t>Chọn khoảng ngày và máy ở ô vàng. Bảng trái: mọi mã lý do theo thứ tự danh mục. Bảng phải: xếp từ nhiều đến ít (chỉ dừng ngoài kế hoạch), kèm % cộng dồn — vài lý do đầu thường chiếm phần lớn.</t>
  </si>
  <si>
    <t>Từ ngày:</t>
  </si>
  <si>
    <t>Đến ngày:</t>
  </si>
  <si>
    <t>Máy:</t>
  </si>
  <si>
    <t>Tất cả</t>
  </si>
  <si>
    <t>Chọn máy</t>
  </si>
  <si>
    <t>Số lần</t>
  </si>
  <si>
    <t>Tổng phút</t>
  </si>
  <si>
    <t>Khoá xếp</t>
  </si>
  <si>
    <t>Hạng</t>
  </si>
  <si>
    <t>% phút dừng ngoài kế hoạch</t>
  </si>
  <si>
    <t>% cộng dồn</t>
  </si>
  <si>
    <t>THEO BỘ PHẬN XỬ LÝ (chỉ dừng ngoài kế hoạch)</t>
  </si>
  <si>
    <t>%</t>
  </si>
  <si>
    <t>TỔNG HỢP THEO MÁY — CỘNG PHÚT VÀ SẢN PHẨM RỒI MỚI CHIA</t>
  </si>
  <si>
    <t>Chọn khoảng ngày ở ô vàng. Mọi tỷ lệ là cộng rồi mới chia, không lấy trung bình các phần trăm của từng ca.</t>
  </si>
  <si>
    <t>Số ca</t>
  </si>
  <si>
    <t>Số ca cần xem</t>
  </si>
  <si>
    <t>Cả xưởng</t>
  </si>
  <si>
    <t>Biểu đồ vẽ 4 máy của dữ liệu mẫu. Thêm máy thì chuột phải vào biểu đồ → Chọn dữ liệu, kéo vùng xuống. "% đạt kế hoạch" cao mà "đạt so với lý thuyết" thấp: kế hoạch đang đặt dễ.</t>
  </si>
  <si>
    <t>TỰ KIỂM DỮ LIỆU — SỐ TRONG TỆP NÀY ĐÁNG TIN TỚI ĐÂU</t>
  </si>
  <si>
    <t>Mọi con số dưới đây tính từ chính trang 2 và trang 3. Không có ngưỡng đạt/trượt — đọc cột "Đọc thế nào".</t>
  </si>
  <si>
    <t>Dấu hiệu</t>
  </si>
  <si>
    <t>Kết quả</t>
  </si>
  <si>
    <t>Mức để so</t>
  </si>
  <si>
    <t>Đọc thế nào</t>
  </si>
  <si>
    <t>Số lần dừng ngoài kế hoạch đã ghi</t>
  </si>
  <si>
    <t>Tổng số dòng ở trang 3, trừ dừng có kế hoạch.</t>
  </si>
  <si>
    <t>Tỷ lệ lần dừng có số phút chia hết cho 5</t>
  </si>
  <si>
    <t>khoảng 20%</t>
  </si>
  <si>
    <t>Đọc giờ từ đồng hồ đến từng phút thì chỉ khoảng 1/5 số lần dừng rơi vào số chia hết cho 5. Cao hơn nhiều: giờ dừng đang được nhớ lại và làm tròn — số phút là ước lượng.</t>
  </si>
  <si>
    <t>Số lần dừng dưới 5 phút</t>
  </si>
  <si>
    <t>lớn hơn 0</t>
  </si>
  <si>
    <t>Bằng 0 nghĩa là dừng vặt không được ghi. Chúng không biến mất: chúng nằm trong "phút chưa ai giải thích".</t>
  </si>
  <si>
    <t>Phút chưa ai giải thích ÷ thời gian kế hoạch (các ca dương)</t>
  </si>
  <si>
    <t>càng nhỏ càng tốt</t>
  </si>
  <si>
    <t>Phần thời gian máy chạy chậm hoặc dừng mà không ai ghi. Muốn biết nó gồm những gì thì phải đo ở máy.</t>
  </si>
  <si>
    <t>Số ca chạy nhanh hơn chu kỳ chuẩn (phút chưa giải thích âm)</t>
  </si>
  <si>
    <t>0</t>
  </si>
  <si>
    <t>Máy không thể chạy nhanh hơn chu kỳ chuẩn suốt ca. Âm gần như luôn là chu kỳ chuẩn của mã hàng đặt dài hơn thực tế.</t>
  </si>
  <si>
    <t>Trễ nhập trung bình (ngày)</t>
  </si>
  <si>
    <t>Từ ngày của ca tới ngày số được nhập. 1 nghĩa là số đến tay người cần sau khi ca đó đã qua — không sửa được gì trong ca.</t>
  </si>
  <si>
    <t>Tỷ lệ ca nhập sau ngày sản xuất</t>
  </si>
  <si>
    <t>0%</t>
  </si>
  <si>
    <t>Cuối tuần thường kéo số của thứ Sáu, thứ Bảy sang thứ Hai.</t>
  </si>
  <si>
    <t>Số ca không ghi người đứng máy</t>
  </si>
  <si>
    <t>Thường là người đứng thay — và tên họ nằm trong cột ghi chú, nơi không cộng, không lọc được.</t>
  </si>
  <si>
    <t>Số ca không ghi lần dừng nào</t>
  </si>
  <si>
    <t>ít</t>
  </si>
  <si>
    <t>Một ca 8 giờ không dừng lần nào là hiếm. Xem cột "Phút chưa ai giải thích" của ca đó.</t>
  </si>
  <si>
    <t>Bốn dấu hiệu đầu cho biết số trong tệp có đáng tin không; ba dấu hiệu sau cho biết số có đến kịp người cần không. Dấu hiệu nào sửa được bằng kỷ luật ghi chép thì sửa trong Excel trước. Dấu hiệu nào chỉ hết khi số được lấy thẳng từ máy — bài viết giải thích: https://oee.vn/bai-viet/quan-ly-san-xuat-bang-excel/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</si>
</sst>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5" formatCode="dd/mm/yyyy"/>
    <numFmt numFmtId="166" formatCode="dd/mm\ hh:mm"/>
    <numFmt numFmtId="167" formatCode="0.0%"/>
    <numFmt numFmtId="168" formatCode="#,##0.0"/>
    <numFmt numFmtId="169" formatCode="0.000"/>
    <numFmt numFmtId="170" formatCode="0.0"/>
  </numFmts>
  <fonts count="17" x14ac:knownFonts="1">
    <font>
      <sz val="11"/>
      <color theme="1"/>
      <name val="Calibri"/>
      <family val="2"/>
      <scheme val="minor"/>
    </font>
    <font>
      <b/>
      <sz val="14"/>
      <color rgb="FF1F4E78"/>
      <name val="Arial"/>
      <family val="2"/>
    </font>
    <font>
      <i/>
      <sz val="10"/>
      <color rgb="FF7F6000"/>
      <name val="Arial"/>
      <family val="2"/>
    </font>
    <font>
      <u/>
      <sz val="10"/>
      <color rgb="FF0563C1"/>
      <name val="Arial"/>
      <family val="2"/>
    </font>
    <font>
      <b/>
      <sz val="10"/>
      <color rgb="FF1F4E78"/>
      <name val="Arial"/>
      <family val="2"/>
    </font>
    <font>
      <b/>
      <sz val="10"/>
      <color rgb="FFFFFFFF"/>
      <name val="Arial"/>
      <family val="2"/>
    </font>
    <font>
      <sz val="10"/>
      <color rgb="FF0000FF"/>
      <name val="Arial"/>
      <family val="2"/>
    </font>
    <font>
      <b/>
      <sz val="10"/>
      <name val="Arial"/>
      <family val="2"/>
    </font>
    <font>
      <b/>
      <sz val="10"/>
      <color rgb="FF0000FF"/>
      <name val="Arial"/>
      <family val="2"/>
    </font>
    <font>
      <i/>
      <sz val="10"/>
      <color rgb="FF595959"/>
      <name val="Arial"/>
      <family val="2"/>
    </font>
    <font>
      <sz val="8"/>
      <color rgb="FF7F7F7F"/>
      <name val="Arial"/>
      <family val="2"/>
    </font>
    <font>
      <b/>
      <sz val="10"/>
      <color rgb="FF7F7F7F"/>
      <name val="Arial"/>
      <family val="2"/>
    </font>
    <font>
      <sz val="10"/>
      <color rgb="FF7F7F7F"/>
      <name val="Arial"/>
      <family val="2"/>
    </font>
    <font>
      <b/>
      <sz val="12"/>
      <name val="Arial"/>
      <family val="2"/>
    </font>
    <font>
      <b/>
      <sz val="16"/>
      <color rgb="FF1F4E78"/>
      <name val="Arial"/>
      <family val="2"/>
    </font>
    <font>
      <b/>
      <u/>
      <sz val="10"/>
      <color rgb="FF0563C1"/>
      <name val="Arial"/>
      <family val="2"/>
    </font>
    <font>
      <sz val="10"/>
      <name val="Arial"/>
      <family val="2"/>
    </font>
  </fonts>
  <fills count="6">
    <fill>
      <patternFill patternType="none"/>
    </fill>
    <fill>
      <patternFill patternType="gray125"/>
    </fill>
    <fill>
      <patternFill patternType="solid">
        <fgColor rgb="FF1F4E78"/>
      </patternFill>
    </fill>
    <fill>
      <patternFill patternType="solid">
        <fgColor rgb="FFFFF2CC"/>
      </patternFill>
    </fill>
    <fill>
      <patternFill patternType="solid">
        <fgColor rgb="FFE2EFDA"/>
      </patternFill>
    </fill>
    <fill>
      <patternFill patternType="solid">
        <fgColor rgb="FFEDEDED"/>
      </patternFill>
    </fill>
  </fills>
  <borders count="3">
    <border>
      <left/>
      <right/>
      <top/>
      <bottom/>
      <diagonal/>
    </border>
    <border>
      <left style="thin">
        <color rgb="FFA6A6A6"/>
      </left>
      <right style="thin">
        <color rgb="FFA6A6A6"/>
      </right>
      <top style="thin">
        <color rgb="FFA6A6A6"/>
      </top>
      <bottom style="thin">
        <color rgb="FFA6A6A6"/>
      </bottom>
      <diagonal/>
    </border>
    <border>
      <left/>
      <right/>
      <top/>
      <bottom style="thin">
        <color rgb="FFA6A6A6"/>
      </bottom>
      <diagonal/>
    </border>
  </borders>
  <cellStyleXfs count="1">
    <xf numFmtId="0" fontId="0" fillId="0" borderId="0"/>
  </cellStyleXfs>
  <cellXfs count="62">
    <xf numFmtId="0" fontId="0" fillId="0" borderId="0" xfId="0"/>
    <xf numFmtId="0" fontId="14" fillId="0" borderId="0" xfId="0" applyFont="1"/>
    <xf numFmtId="0" fontId="2" fillId="0" borderId="0" xfId="0" applyFont="1"/>
    <xf numFmtId="0" fontId="13" fillId="0" borderId="0" xfId="0" applyFont="1"/>
    <xf numFmtId="0" fontId="15" fillId="0" borderId="0" xfId="0" applyFont="1" applyAlignment="1">
      <alignment vertical="top"/>
    </xf>
    <xf numFmtId="0" fontId="0" fillId="0" borderId="0" xfId="0" applyAlignment="1">
      <alignment vertical="top" wrapText="1"/>
    </xf>
    <xf numFmtId="0" fontId="13" fillId="0" borderId="0" xfId="0" applyFont="1" applyAlignment="1">
      <alignment vertical="top"/>
    </xf>
    <xf numFmtId="0" fontId="16" fillId="0" borderId="0" xfId="0" applyFont="1" applyAlignment="1">
      <alignment vertical="top"/>
    </xf>
    <xf numFmtId="0" fontId="3" fillId="0" borderId="0" xfId="0" applyFont="1" applyAlignment="1">
      <alignment vertical="top"/>
    </xf>
    <xf numFmtId="0" fontId="1" fillId="0" borderId="0" xfId="0" applyFont="1"/>
    <xf numFmtId="0" fontId="3" fillId="0" borderId="0" xfId="0" applyFont="1"/>
    <xf numFmtId="0" fontId="4" fillId="0" borderId="0" xfId="0" applyFont="1"/>
    <xf numFmtId="0" fontId="5" fillId="2" borderId="1" xfId="0" applyFont="1" applyFill="1" applyBorder="1" applyAlignment="1">
      <alignment horizontal="center" vertical="center" wrapText="1"/>
    </xf>
    <xf numFmtId="0" fontId="6" fillId="3" borderId="1" xfId="0" applyFont="1" applyFill="1" applyBorder="1" applyAlignment="1">
      <alignment horizontal="left" vertical="center"/>
    </xf>
    <xf numFmtId="20" fontId="6" fillId="3" borderId="1" xfId="0" applyNumberFormat="1" applyFont="1" applyFill="1" applyBorder="1" applyAlignment="1">
      <alignment horizontal="left" vertical="center"/>
    </xf>
    <xf numFmtId="20" fontId="6" fillId="3" borderId="1" xfId="0" applyNumberFormat="1" applyFont="1" applyFill="1" applyBorder="1" applyAlignment="1">
      <alignment horizontal="center" vertical="center"/>
    </xf>
    <xf numFmtId="0" fontId="0" fillId="4" borderId="1" xfId="0" applyFill="1" applyBorder="1" applyAlignment="1">
      <alignment horizontal="center" vertical="center"/>
    </xf>
    <xf numFmtId="0" fontId="6" fillId="3" borderId="1" xfId="0" applyFont="1" applyFill="1" applyBorder="1" applyAlignment="1">
      <alignment horizontal="center" vertical="center"/>
    </xf>
    <xf numFmtId="0" fontId="0" fillId="3" borderId="1" xfId="0" applyFill="1" applyBorder="1" applyAlignment="1">
      <alignment horizontal="left" vertical="center"/>
    </xf>
    <xf numFmtId="20" fontId="0" fillId="3" borderId="1" xfId="0" applyNumberFormat="1" applyFill="1" applyBorder="1" applyAlignment="1">
      <alignment horizontal="left" vertical="center"/>
    </xf>
    <xf numFmtId="20"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7" fillId="0" borderId="0" xfId="0" applyFont="1"/>
    <xf numFmtId="49" fontId="8" fillId="3" borderId="1" xfId="0" applyNumberFormat="1" applyFont="1" applyFill="1" applyBorder="1"/>
    <xf numFmtId="0" fontId="9" fillId="0" borderId="0" xfId="0" applyFont="1"/>
    <xf numFmtId="165" fontId="6" fillId="3" borderId="1" xfId="0" applyNumberFormat="1" applyFont="1" applyFill="1" applyBorder="1" applyAlignment="1">
      <alignment horizontal="center" vertical="center"/>
    </xf>
    <xf numFmtId="3" fontId="6" fillId="3" borderId="1" xfId="0" applyNumberFormat="1" applyFont="1" applyFill="1" applyBorder="1" applyAlignment="1">
      <alignment horizontal="center" vertical="center"/>
    </xf>
    <xf numFmtId="166" fontId="6" fillId="3" borderId="1" xfId="0" applyNumberFormat="1" applyFont="1" applyFill="1" applyBorder="1" applyAlignment="1">
      <alignment horizontal="center" vertical="center"/>
    </xf>
    <xf numFmtId="3" fontId="0" fillId="5" borderId="1" xfId="0" applyNumberFormat="1" applyFill="1" applyBorder="1" applyAlignment="1">
      <alignment horizontal="center" vertical="center"/>
    </xf>
    <xf numFmtId="167" fontId="0" fillId="5" borderId="1" xfId="0" applyNumberFormat="1" applyFill="1" applyBorder="1" applyAlignment="1">
      <alignment horizontal="center" vertical="center"/>
    </xf>
    <xf numFmtId="0" fontId="0" fillId="5" borderId="1" xfId="0" applyFill="1" applyBorder="1" applyAlignment="1">
      <alignment horizontal="center" vertical="center"/>
    </xf>
    <xf numFmtId="168" fontId="0" fillId="5" borderId="1" xfId="0" applyNumberFormat="1" applyFill="1" applyBorder="1" applyAlignment="1">
      <alignment horizontal="center" vertical="center"/>
    </xf>
    <xf numFmtId="167" fontId="7" fillId="4" borderId="1" xfId="0" applyNumberFormat="1" applyFont="1" applyFill="1" applyBorder="1" applyAlignment="1">
      <alignment horizontal="center" vertical="center"/>
    </xf>
    <xf numFmtId="0" fontId="0" fillId="0" borderId="1" xfId="0" applyBorder="1" applyAlignment="1">
      <alignment horizontal="left" vertical="center"/>
    </xf>
    <xf numFmtId="0" fontId="10" fillId="5" borderId="1" xfId="0" applyFont="1" applyFill="1" applyBorder="1" applyAlignment="1">
      <alignment horizontal="left" vertical="center"/>
    </xf>
    <xf numFmtId="165" fontId="0" fillId="3" borderId="1" xfId="0" applyNumberFormat="1" applyFill="1" applyBorder="1" applyAlignment="1">
      <alignment horizontal="center" vertical="center"/>
    </xf>
    <xf numFmtId="3" fontId="0" fillId="3"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0" fontId="0" fillId="5" borderId="1" xfId="0" applyFill="1" applyBorder="1" applyAlignment="1">
      <alignment horizontal="left" vertical="center"/>
    </xf>
    <xf numFmtId="165" fontId="8" fillId="3" borderId="1" xfId="0" applyNumberFormat="1" applyFont="1" applyFill="1" applyBorder="1"/>
    <xf numFmtId="0" fontId="7" fillId="0" borderId="0" xfId="0" applyFont="1" applyAlignment="1">
      <alignment horizontal="right"/>
    </xf>
    <xf numFmtId="0" fontId="8" fillId="3" borderId="1" xfId="0" applyFont="1" applyFill="1" applyBorder="1"/>
    <xf numFmtId="0" fontId="0" fillId="0" borderId="1" xfId="0" applyBorder="1" applyAlignment="1">
      <alignment horizontal="center" vertical="center"/>
    </xf>
    <xf numFmtId="3" fontId="0" fillId="0" borderId="1" xfId="0" applyNumberFormat="1" applyBorder="1" applyAlignment="1">
      <alignment horizontal="center" vertical="center"/>
    </xf>
    <xf numFmtId="167" fontId="0" fillId="0" borderId="1" xfId="0" applyNumberFormat="1" applyBorder="1" applyAlignment="1">
      <alignment horizontal="center" vertical="center"/>
    </xf>
    <xf numFmtId="168" fontId="0" fillId="0" borderId="1" xfId="0" applyNumberFormat="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center" vertical="center"/>
    </xf>
    <xf numFmtId="3" fontId="7" fillId="4" borderId="1" xfId="0" applyNumberFormat="1" applyFont="1" applyFill="1" applyBorder="1" applyAlignment="1">
      <alignment horizontal="center" vertical="center"/>
    </xf>
    <xf numFmtId="168" fontId="7" fillId="4" borderId="1" xfId="0" applyNumberFormat="1" applyFont="1" applyFill="1" applyBorder="1" applyAlignment="1">
      <alignment horizontal="center" vertical="center"/>
    </xf>
    <xf numFmtId="0" fontId="0" fillId="0" borderId="2" xfId="0" applyBorder="1"/>
    <xf numFmtId="0" fontId="11" fillId="0" borderId="0" xfId="0" applyFont="1"/>
    <xf numFmtId="0" fontId="12" fillId="0" borderId="0" xfId="0" applyFont="1"/>
    <xf numFmtId="169" fontId="12" fillId="0" borderId="1" xfId="0" applyNumberFormat="1" applyFont="1" applyBorder="1" applyAlignment="1">
      <alignment horizontal="center" vertical="center"/>
    </xf>
    <xf numFmtId="167" fontId="7" fillId="0" borderId="1" xfId="0" applyNumberFormat="1" applyFont="1" applyBorder="1" applyAlignment="1">
      <alignment horizontal="center" vertical="center"/>
    </xf>
    <xf numFmtId="0" fontId="0" fillId="0" borderId="1" xfId="0" applyBorder="1" applyAlignment="1">
      <alignment vertical="center" wrapText="1"/>
    </xf>
    <xf numFmtId="1" fontId="13" fillId="4" borderId="1" xfId="0" applyNumberFormat="1" applyFont="1" applyFill="1" applyBorder="1" applyAlignment="1">
      <alignment horizontal="center" vertical="center"/>
    </xf>
    <xf numFmtId="9" fontId="13" fillId="4" borderId="1" xfId="0" applyNumberFormat="1" applyFont="1" applyFill="1" applyBorder="1" applyAlignment="1">
      <alignment horizontal="center" vertical="center"/>
    </xf>
    <xf numFmtId="167" fontId="13" fillId="4" borderId="1" xfId="0" applyNumberFormat="1" applyFont="1" applyFill="1" applyBorder="1" applyAlignment="1">
      <alignment horizontal="center" vertical="center"/>
    </xf>
    <xf numFmtId="170" fontId="13" fillId="4" borderId="1" xfId="0" applyNumberFormat="1" applyFont="1" applyFill="1" applyBorder="1" applyAlignment="1">
      <alignment horizontal="center" vertical="center"/>
    </xf>
    <xf numFmtId="0" fontId="9" fillId="0" borderId="0" xfId="0" applyFont="1" applyAlignment="1">
      <alignment vertical="top" wrapText="1"/>
    </xf>
    <xf numFmtId="0" fontId="0" fillId="0" borderId="0" xfId="0"/>
  </cellXfs>
  <cellStyles count="1">
    <cellStyle name="Normal" xfId="0" builtinId="0"/>
  </cellStyles>
  <dxfs count="7">
    <dxf>
      <font>
        <b/>
        <color rgb="FF9C0006"/>
        <name val="Arial"/>
      </font>
      <fill>
        <patternFill patternType="solid">
          <fgColor rgb="FFFFC7CE"/>
        </patternFill>
      </fill>
    </dxf>
    <dxf>
      <font>
        <b/>
        <color rgb="FF9C0006"/>
        <name val="Arial"/>
      </font>
      <fill>
        <patternFill patternType="solid">
          <fgColor rgb="FFFFC7CE"/>
        </patternFill>
      </fill>
    </dxf>
    <dxf>
      <font>
        <b/>
        <name val="Arial"/>
      </font>
      <fill>
        <patternFill patternType="solid">
          <fgColor rgb="FFEDEDED"/>
        </patternFill>
      </fill>
    </dxf>
    <dxf>
      <font>
        <b/>
        <name val="Arial"/>
      </font>
      <fill>
        <patternFill patternType="solid">
          <fgColor rgb="FFE2EFDA"/>
        </patternFill>
      </fill>
    </dxf>
    <dxf>
      <font>
        <b/>
        <name val="Arial"/>
      </font>
      <fill>
        <patternFill patternType="solid">
          <fgColor rgb="FFFFC7CE"/>
        </patternFill>
      </fill>
    </dxf>
    <dxf>
      <font>
        <b/>
        <color rgb="FF9C5700"/>
        <name val="Arial"/>
      </font>
      <fill>
        <patternFill patternType="solid">
          <fgColor rgb="FFFFEB9C"/>
        </patternFill>
      </fill>
    </dxf>
    <dxf>
      <font>
        <b/>
        <color rgb="FF9C0006"/>
        <name val="Arial"/>
      </font>
      <fill>
        <patternFill patternType="solid">
          <f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Phút dừng ngoài kế hoạch theo lý do (10 lý do đầu)</a:t>
            </a:r>
          </a:p>
        </c:rich>
      </c:tx>
      <c:overlay val="0"/>
    </c:title>
    <c:autoTitleDeleted val="0"/>
    <c:plotArea>
      <c:layout/>
      <c:barChart>
        <c:barDir val="bar"/>
        <c:grouping val="clustered"/>
        <c:varyColors val="1"/>
        <c:ser>
          <c:idx val="0"/>
          <c:order val="0"/>
          <c:tx>
            <c:strRef>
              <c:f>'6 Dừng máy theo lý do'!$L$6</c:f>
              <c:strCache>
                <c:ptCount val="1"/>
                <c:pt idx="0">
                  <c:v>Phút</c:v>
                </c:pt>
              </c:strCache>
            </c:strRef>
          </c:tx>
          <c:spPr>
            <a:solidFill>
              <a:srgbClr val="EA580C"/>
            </a:solidFill>
            <a:ln>
              <a:solidFill>
                <a:srgbClr val="EA580C"/>
              </a:solidFill>
              <a:prstDash val="solid"/>
            </a:ln>
          </c:spPr>
          <c:invertIfNegative val="1"/>
          <c:dLbls>
            <c:numFmt formatCode="#,##0;\-#,##0;;" sourceLinked="0"/>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'6 Dừng máy theo lý do'!$K$7:$K$16</c:f>
              <c:strCache>
                <c:ptCount val="8"/>
                <c:pt idx="0">
                  <c:v>Chờ vật tư, phôi</c:v>
                </c:pt>
                <c:pt idx="1">
                  <c:v>Chỉnh máy, chạy mẫu đầu</c:v>
                </c:pt>
                <c:pt idx="2">
                  <c:v>Hỏng máy — cơ khí</c:v>
                </c:pt>
                <c:pt idx="3">
                  <c:v>Chờ người, thiếu người</c:v>
                </c:pt>
                <c:pt idx="4">
                  <c:v>Hỏng máy — điện, điều khiển</c:v>
                </c:pt>
                <c:pt idx="5">
                  <c:v>Chờ QC kiểm tra</c:v>
                </c:pt>
                <c:pt idx="6">
                  <c:v>Dừng khác</c:v>
                </c:pt>
                <c:pt idx="7">
                  <c:v>Đổi mã hàng, thay khuôn, gá</c:v>
                </c:pt>
              </c:strCache>
            </c:strRef>
          </c:cat>
          <c:val>
            <c:numRef>
              <c:f>'6 Dừng máy theo lý do'!$L$7:$L$16</c:f>
              <c:numCache>
                <c:formatCode>#,##0</c:formatCode>
                <c:ptCount val="10"/>
                <c:pt idx="0">
                  <c:v>503</c:v>
                </c:pt>
                <c:pt idx="1">
                  <c:v>427</c:v>
                </c:pt>
                <c:pt idx="2">
                  <c:v>308</c:v>
                </c:pt>
                <c:pt idx="3">
                  <c:v>200</c:v>
                </c:pt>
                <c:pt idx="4">
                  <c:v>199</c:v>
                </c:pt>
                <c:pt idx="5">
                  <c:v>165</c:v>
                </c:pt>
                <c:pt idx="6">
                  <c:v>103</c:v>
                </c:pt>
                <c:pt idx="7">
                  <c:v>45</c:v>
                </c:pt>
                <c:pt idx="8">
                  <c:v>0</c:v>
                </c:pt>
                <c:pt idx="9">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A580C"/>
                    </a:solidFill>
                    <a:prstDash val="solid"/>
                  </a:ln>
                </c14:spPr>
              </c14:invertSolidFillFmt>
            </c:ext>
            <c:ext xmlns:c16="http://schemas.microsoft.com/office/drawing/2014/chart" uri="{C3380CC4-5D6E-409C-BE32-E72D297353CC}">
              <c16:uniqueId val="{00000000-A75C-034B-BB18-A7F9312FE5C6}"/>
            </c:ext>
          </c:extLst>
        </c:ser>
        <c:dLbls>
          <c:showLegendKey val="0"/>
          <c:showVal val="1"/>
          <c:showCatName val="0"/>
          <c:showSerName val="0"/>
          <c:showPercent val="0"/>
          <c:showBubbleSize val="1"/>
        </c:dLbls>
        <c:gapWidth val="60"/>
        <c:axId val="10"/>
        <c:axId val="100"/>
      </c:barChart>
      <c:catAx>
        <c:axId val="10"/>
        <c:scaling>
          <c:orientation val="maxMin"/>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t"/>
        <c:majorGridlines/>
        <c:title>
          <c:tx>
            <c:rich>
              <a:bodyPr/>
              <a:lstStyle/>
              <a:p>
                <a:pPr>
                  <a:defRPr/>
                </a:pPr>
                <a:r>
                  <a:t>Phút</a:t>
                </a:r>
              </a:p>
            </c:rich>
          </c:tx>
          <c:overlay val="1"/>
        </c:title>
        <c:numFmt formatCode="#,##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 đạt kế hoạch và đạt so với lý thuyết (= OEE) theo máy</a:t>
            </a:r>
          </a:p>
        </c:rich>
      </c:tx>
      <c:overlay val="0"/>
    </c:title>
    <c:autoTitleDeleted val="0"/>
    <c:plotArea>
      <c:layout/>
      <c:barChart>
        <c:barDir val="col"/>
        <c:grouping val="clustered"/>
        <c:varyColors val="1"/>
        <c:ser>
          <c:idx val="0"/>
          <c:order val="0"/>
          <c:tx>
            <c:strRef>
              <c:f>'7 Tổng hợp theo máy'!$G$5</c:f>
              <c:strCache>
                <c:ptCount val="1"/>
                <c:pt idx="0">
                  <c:v>% đạt kế hoạch</c:v>
                </c:pt>
              </c:strCache>
            </c:strRef>
          </c:tx>
          <c:spPr>
            <a:solidFill>
              <a:srgbClr val="2563EB"/>
            </a:solidFill>
            <a:ln>
              <a:solidFill>
                <a:srgbClr val="2563EB"/>
              </a:solidFill>
              <a:prstDash val="solid"/>
            </a:ln>
          </c:spPr>
          <c:invertIfNegative val="1"/>
          <c:dLbls>
            <c:numFmt formatCode="0%" sourceLinked="0"/>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'7 Tổng hợp theo máy'!$A$6:$A$9</c:f>
              <c:strCache>
                <c:ptCount val="4"/>
                <c:pt idx="0">
                  <c:v>Máy tiện 1</c:v>
                </c:pt>
                <c:pt idx="1">
                  <c:v>Máy tiện 2</c:v>
                </c:pt>
                <c:pt idx="2">
                  <c:v>Máy phay 1</c:v>
                </c:pt>
                <c:pt idx="3">
                  <c:v>Máy dập 1</c:v>
                </c:pt>
              </c:strCache>
            </c:strRef>
          </c:cat>
          <c:val>
            <c:numRef>
              <c:f>'7 Tổng hợp theo máy'!$G$6:$G$9</c:f>
              <c:numCache>
                <c:formatCode>0.0%</c:formatCode>
                <c:ptCount val="4"/>
                <c:pt idx="0">
                  <c:v>0.85973684210526313</c:v>
                </c:pt>
                <c:pt idx="1">
                  <c:v>0.87592592592592589</c:v>
                </c:pt>
                <c:pt idx="2">
                  <c:v>0.82032520325203251</c:v>
                </c:pt>
                <c:pt idx="3">
                  <c:v>0.97674698795180726</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563EB"/>
                    </a:solidFill>
                    <a:prstDash val="solid"/>
                  </a:ln>
                </c14:spPr>
              </c14:invertSolidFillFmt>
            </c:ext>
            <c:ext xmlns:c16="http://schemas.microsoft.com/office/drawing/2014/chart" uri="{C3380CC4-5D6E-409C-BE32-E72D297353CC}">
              <c16:uniqueId val="{00000000-DED8-FC41-B911-968E5DF8351F}"/>
            </c:ext>
          </c:extLst>
        </c:ser>
        <c:ser>
          <c:idx val="1"/>
          <c:order val="1"/>
          <c:tx>
            <c:strRef>
              <c:f>'7 Tổng hợp theo máy'!$M$5</c:f>
              <c:strCache>
                <c:ptCount val="1"/>
                <c:pt idx="0">
                  <c:v>Đạt so với lý thuyết (= OEE)</c:v>
                </c:pt>
              </c:strCache>
            </c:strRef>
          </c:tx>
          <c:spPr>
            <a:solidFill>
              <a:srgbClr val="059669"/>
            </a:solidFill>
            <a:ln>
              <a:solidFill>
                <a:srgbClr val="059669"/>
              </a:solidFill>
              <a:prstDash val="solid"/>
            </a:ln>
          </c:spPr>
          <c:invertIfNegative val="1"/>
          <c:dLbls>
            <c:numFmt formatCode="0%" sourceLinked="0"/>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'7 Tổng hợp theo máy'!$A$6:$A$9</c:f>
              <c:strCache>
                <c:ptCount val="4"/>
                <c:pt idx="0">
                  <c:v>Máy tiện 1</c:v>
                </c:pt>
                <c:pt idx="1">
                  <c:v>Máy tiện 2</c:v>
                </c:pt>
                <c:pt idx="2">
                  <c:v>Máy phay 1</c:v>
                </c:pt>
                <c:pt idx="3">
                  <c:v>Máy dập 1</c:v>
                </c:pt>
              </c:strCache>
            </c:strRef>
          </c:cat>
          <c:val>
            <c:numRef>
              <c:f>'7 Tổng hợp theo máy'!$M$6:$M$9</c:f>
              <c:numCache>
                <c:formatCode>0.0%</c:formatCode>
                <c:ptCount val="4"/>
                <c:pt idx="0">
                  <c:v>0.7778571428571428</c:v>
                </c:pt>
                <c:pt idx="1">
                  <c:v>0.7825367647058824</c:v>
                </c:pt>
                <c:pt idx="2">
                  <c:v>0.73115942028985503</c:v>
                </c:pt>
                <c:pt idx="3">
                  <c:v>0.86383333333333334</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059669"/>
                    </a:solidFill>
                    <a:prstDash val="solid"/>
                  </a:ln>
                </c14:spPr>
              </c14:invertSolidFillFmt>
            </c:ext>
            <c:ext xmlns:c16="http://schemas.microsoft.com/office/drawing/2014/chart" uri="{C3380CC4-5D6E-409C-BE32-E72D297353CC}">
              <c16:uniqueId val="{00000001-DED8-FC41-B911-968E5DF8351F}"/>
            </c:ext>
          </c:extLst>
        </c:ser>
        <c:dLbls>
          <c:showLegendKey val="0"/>
          <c:showVal val="1"/>
          <c:showCatName val="0"/>
          <c:showSerName val="0"/>
          <c:showPercent val="0"/>
          <c:showBubbleSize val="1"/>
        </c:dLbls>
        <c:gapWidth val="6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min val="0"/>
        </c:scaling>
        <c:delete val="0"/>
        <c:axPos val="l"/>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8</xdr:col>
      <xdr:colOff>0</xdr:colOff>
      <xdr:row>38</xdr:row>
      <xdr:rowOff>0</xdr:rowOff>
    </xdr:from>
    <xdr:ext cx="6480000" cy="324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28</xdr:row>
      <xdr:rowOff>0</xdr:rowOff>
    </xdr:from>
    <xdr:ext cx="6480000" cy="3060000"/>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oee.vn/bai-viet/quan-ly-san-xuat-bang-excel/"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32"/>
  <sheetViews>
    <sheetView showGridLines="0" tabSelected="1" workbookViewId="0"/>
  </sheetViews>
  <sheetFormatPr baseColWidth="10" defaultColWidth="8.83203125" defaultRowHeight="15" x14ac:dyDescent="0.2"/>
  <cols>
    <col min="1" max="1" width="4" customWidth="1"/>
    <col min="2" max="2" width="28" customWidth="1"/>
    <col min="3" max="3" width="96" customWidth="1"/>
  </cols>
  <sheetData>
    <row r="1" spans="2:3" ht="20" x14ac:dyDescent="0.2">
      <c r="B1" s="1" t="s">
        <v>0</v>
      </c>
    </row>
    <row r="2" spans="2:3" x14ac:dyDescent="0.2">
      <c r="B2" s="2" t="s">
        <v>1</v>
      </c>
    </row>
    <row r="4" spans="2:3" ht="16" x14ac:dyDescent="0.2">
      <c r="B4" s="3" t="s">
        <v>2</v>
      </c>
    </row>
    <row r="5" spans="2:3" ht="28" customHeight="1" x14ac:dyDescent="0.2">
      <c r="B5" s="4" t="s">
        <v>3</v>
      </c>
      <c r="C5" s="5" t="s">
        <v>4</v>
      </c>
    </row>
    <row r="6" spans="2:3" ht="28" customHeight="1" x14ac:dyDescent="0.2">
      <c r="B6" s="4" t="s">
        <v>5</v>
      </c>
      <c r="C6" s="5" t="s">
        <v>6</v>
      </c>
    </row>
    <row r="7" spans="2:3" ht="28" customHeight="1" x14ac:dyDescent="0.2">
      <c r="B7" s="4" t="s">
        <v>7</v>
      </c>
      <c r="C7" s="5" t="s">
        <v>8</v>
      </c>
    </row>
    <row r="8" spans="2:3" ht="28" customHeight="1" x14ac:dyDescent="0.2">
      <c r="B8" s="4" t="s">
        <v>9</v>
      </c>
      <c r="C8" s="5" t="s">
        <v>10</v>
      </c>
    </row>
    <row r="9" spans="2:3" ht="28" customHeight="1" x14ac:dyDescent="0.2">
      <c r="B9" s="4" t="s">
        <v>11</v>
      </c>
      <c r="C9" s="5" t="s">
        <v>12</v>
      </c>
    </row>
    <row r="10" spans="2:3" ht="28" customHeight="1" x14ac:dyDescent="0.2">
      <c r="B10" s="4" t="s">
        <v>13</v>
      </c>
      <c r="C10" s="5" t="s">
        <v>14</v>
      </c>
    </row>
    <row r="11" spans="2:3" ht="28" customHeight="1" x14ac:dyDescent="0.2">
      <c r="B11" s="4" t="s">
        <v>15</v>
      </c>
      <c r="C11" s="5" t="s">
        <v>16</v>
      </c>
    </row>
    <row r="12" spans="2:3" ht="28" customHeight="1" x14ac:dyDescent="0.2">
      <c r="B12" s="4" t="s">
        <v>17</v>
      </c>
      <c r="C12" s="5" t="s">
        <v>18</v>
      </c>
    </row>
    <row r="14" spans="2:3" ht="16" x14ac:dyDescent="0.2">
      <c r="B14" s="6" t="s">
        <v>19</v>
      </c>
    </row>
    <row r="15" spans="2:3" x14ac:dyDescent="0.2">
      <c r="B15" s="7" t="s">
        <v>20</v>
      </c>
    </row>
    <row r="16" spans="2:3" x14ac:dyDescent="0.2">
      <c r="B16" s="7" t="s">
        <v>21</v>
      </c>
    </row>
    <row r="17" spans="2:2" x14ac:dyDescent="0.2">
      <c r="B17" s="7" t="s">
        <v>22</v>
      </c>
    </row>
    <row r="18" spans="2:2" x14ac:dyDescent="0.2">
      <c r="B18" s="7" t="s">
        <v>23</v>
      </c>
    </row>
    <row r="19" spans="2:2" x14ac:dyDescent="0.2">
      <c r="B19" s="7"/>
    </row>
    <row r="20" spans="2:2" ht="16" x14ac:dyDescent="0.2">
      <c r="B20" s="6" t="s">
        <v>24</v>
      </c>
    </row>
    <row r="21" spans="2:2" x14ac:dyDescent="0.2">
      <c r="B21" s="7" t="s">
        <v>25</v>
      </c>
    </row>
    <row r="22" spans="2:2" x14ac:dyDescent="0.2">
      <c r="B22" s="7" t="s">
        <v>26</v>
      </c>
    </row>
    <row r="23" spans="2:2" x14ac:dyDescent="0.2">
      <c r="B23" s="7" t="s">
        <v>27</v>
      </c>
    </row>
    <row r="24" spans="2:2" x14ac:dyDescent="0.2">
      <c r="B24" s="7" t="s">
        <v>28</v>
      </c>
    </row>
    <row r="25" spans="2:2" x14ac:dyDescent="0.2">
      <c r="B25" s="7"/>
    </row>
    <row r="26" spans="2:2" ht="16" x14ac:dyDescent="0.2">
      <c r="B26" s="6" t="s">
        <v>29</v>
      </c>
    </row>
    <row r="27" spans="2:2" x14ac:dyDescent="0.2">
      <c r="B27" s="7" t="s">
        <v>30</v>
      </c>
    </row>
    <row r="28" spans="2:2" x14ac:dyDescent="0.2">
      <c r="B28" s="7"/>
    </row>
    <row r="29" spans="2:2" x14ac:dyDescent="0.2">
      <c r="B29" s="7" t="s">
        <v>31</v>
      </c>
    </row>
    <row r="30" spans="2:2" x14ac:dyDescent="0.2">
      <c r="B30" s="8" t="s">
        <v>32</v>
      </c>
    </row>
    <row r="31" spans="2:2" x14ac:dyDescent="0.2">
      <c r="B31" s="7" t="s">
        <v>33</v>
      </c>
    </row>
    <row r="32" spans="2:2" x14ac:dyDescent="0.2">
      <c r="B32" s="7" t="s">
        <v>34</v>
      </c>
    </row>
  </sheetData>
  <hyperlinks>
    <hyperlink ref="B5" location="'1 Danh mục'!A1" display="1 Danh mục" xr:uid="{00000000-0004-0000-0000-000000000000}"/>
    <hyperlink ref="B6" location="'2 Sản lượng theo ca'!A1" display="2 Sản lượng theo ca" xr:uid="{00000000-0004-0000-0000-000001000000}"/>
    <hyperlink ref="B7" location="'3 Nhật ký dừng máy'!A1" display="3 Nhật ký dừng máy" xr:uid="{00000000-0004-0000-0000-000002000000}"/>
    <hyperlink ref="B8" location="'4 Tiến độ lệnh'!A1" display="4 Tiến độ lệnh" xr:uid="{00000000-0004-0000-0000-000003000000}"/>
    <hyperlink ref="B9" location="'5 Báo cáo ca'!A1" display="5 Báo cáo ca" xr:uid="{00000000-0004-0000-0000-000004000000}"/>
    <hyperlink ref="B10" location="'6 Dừng máy theo lý do'!A1" display="6 Dừng máy theo lý do" xr:uid="{00000000-0004-0000-0000-000005000000}"/>
    <hyperlink ref="B11" location="'7 Tổng hợp theo máy'!A1" display="7 Tổng hợp theo máy" xr:uid="{00000000-0004-0000-0000-000006000000}"/>
    <hyperlink ref="B12" location="'8 Tự kiểm dữ liệu'!A1" display="8 Tự kiểm dữ liệu" xr:uid="{00000000-0004-0000-0000-000007000000}"/>
    <hyperlink ref="B30" r:id="rId1" xr:uid="{00000000-0004-0000-0000-000008000000}"/>
  </hyperlinks>
  <pageMargins left="0.75" right="0.75" top="1" bottom="1" header="0.5" footer="0.5"/>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5"/>
  <sheetViews>
    <sheetView showGridLines="0" workbookViewId="0"/>
  </sheetViews>
  <sheetFormatPr baseColWidth="10" defaultColWidth="8.83203125" defaultRowHeight="15" x14ac:dyDescent="0.2"/>
  <cols>
    <col min="1" max="1" width="16" customWidth="1"/>
    <col min="2" max="2" width="12" customWidth="1"/>
    <col min="3" max="3" width="3" customWidth="1"/>
    <col min="4" max="6" width="8" customWidth="1"/>
    <col min="7" max="8" width="9" customWidth="1"/>
    <col min="9" max="9" width="3" customWidth="1"/>
    <col min="10" max="10" width="10" customWidth="1"/>
    <col min="11" max="11" width="14" customWidth="1"/>
    <col min="12" max="12" width="10" customWidth="1"/>
    <col min="13" max="13" width="3" customWidth="1"/>
    <col min="14" max="14" width="6" customWidth="1"/>
    <col min="15" max="15" width="26" customWidth="1"/>
    <col min="16" max="17" width="14" customWidth="1"/>
    <col min="18" max="18" width="3" customWidth="1"/>
    <col min="19" max="19" width="8" customWidth="1"/>
    <col min="20" max="20" width="16" customWidth="1"/>
    <col min="21" max="21" width="3" customWidth="1"/>
    <col min="22" max="22" width="15" customWidth="1"/>
  </cols>
  <sheetData>
    <row r="1" spans="1:22" ht="18" x14ac:dyDescent="0.2">
      <c r="A1" s="9" t="s">
        <v>35</v>
      </c>
    </row>
    <row r="2" spans="1:22" x14ac:dyDescent="0.2">
      <c r="A2" s="2" t="s">
        <v>36</v>
      </c>
    </row>
    <row r="3" spans="1:22" x14ac:dyDescent="0.2">
      <c r="A3" s="10" t="s">
        <v>37</v>
      </c>
    </row>
    <row r="4" spans="1:22" x14ac:dyDescent="0.2">
      <c r="A4" s="11" t="s">
        <v>38</v>
      </c>
      <c r="D4" s="11" t="s">
        <v>39</v>
      </c>
      <c r="J4" s="11" t="s">
        <v>40</v>
      </c>
      <c r="N4" s="11" t="s">
        <v>41</v>
      </c>
      <c r="S4" s="11" t="s">
        <v>42</v>
      </c>
      <c r="V4" s="11" t="s">
        <v>43</v>
      </c>
    </row>
    <row r="5" spans="1:22" ht="42" customHeight="1" x14ac:dyDescent="0.2">
      <c r="A5" s="12" t="s">
        <v>44</v>
      </c>
      <c r="B5" s="12" t="s">
        <v>45</v>
      </c>
      <c r="D5" s="12" t="s">
        <v>46</v>
      </c>
      <c r="E5" s="12" t="s">
        <v>47</v>
      </c>
      <c r="F5" s="12" t="s">
        <v>48</v>
      </c>
      <c r="G5" s="12" t="s">
        <v>49</v>
      </c>
      <c r="H5" s="12" t="s">
        <v>50</v>
      </c>
      <c r="J5" s="12" t="s">
        <v>51</v>
      </c>
      <c r="K5" s="12" t="s">
        <v>52</v>
      </c>
      <c r="L5" s="12" t="s">
        <v>53</v>
      </c>
      <c r="N5" s="12" t="s">
        <v>54</v>
      </c>
      <c r="O5" s="12" t="s">
        <v>55</v>
      </c>
      <c r="P5" s="12" t="s">
        <v>56</v>
      </c>
      <c r="Q5" s="12" t="s">
        <v>57</v>
      </c>
      <c r="S5" s="12" t="s">
        <v>58</v>
      </c>
      <c r="T5" s="12" t="s">
        <v>59</v>
      </c>
      <c r="V5" s="12" t="s">
        <v>60</v>
      </c>
    </row>
    <row r="6" spans="1:22" x14ac:dyDescent="0.2">
      <c r="A6" s="13" t="s">
        <v>61</v>
      </c>
      <c r="B6" s="13" t="s">
        <v>62</v>
      </c>
      <c r="D6" s="13" t="s">
        <v>63</v>
      </c>
      <c r="E6" s="14">
        <v>0.25</v>
      </c>
      <c r="F6" s="15">
        <v>0.58333333333333337</v>
      </c>
      <c r="G6" s="16">
        <f t="shared" ref="G6:G11" si="0">IF(OR(E6="",F6=""),"",ROUND(MOD(F6-E6,1)*1440,0))</f>
        <v>480</v>
      </c>
      <c r="H6" s="17">
        <v>60</v>
      </c>
      <c r="J6" s="13" t="s">
        <v>64</v>
      </c>
      <c r="K6" s="13" t="s">
        <v>65</v>
      </c>
      <c r="L6" s="17">
        <v>60</v>
      </c>
      <c r="N6" s="13" t="s">
        <v>66</v>
      </c>
      <c r="O6" s="13" t="s">
        <v>67</v>
      </c>
      <c r="P6" s="17" t="s">
        <v>68</v>
      </c>
      <c r="Q6" s="17" t="s">
        <v>69</v>
      </c>
      <c r="S6" s="13" t="s">
        <v>70</v>
      </c>
      <c r="T6" s="13" t="s">
        <v>71</v>
      </c>
      <c r="V6" s="13" t="s">
        <v>69</v>
      </c>
    </row>
    <row r="7" spans="1:22" x14ac:dyDescent="0.2">
      <c r="A7" s="13" t="s">
        <v>72</v>
      </c>
      <c r="B7" s="13" t="s">
        <v>62</v>
      </c>
      <c r="D7" s="13" t="s">
        <v>73</v>
      </c>
      <c r="E7" s="14">
        <v>0.58333333333333337</v>
      </c>
      <c r="F7" s="15">
        <v>0.91666666666666663</v>
      </c>
      <c r="G7" s="16">
        <f t="shared" si="0"/>
        <v>480</v>
      </c>
      <c r="H7" s="17">
        <v>60</v>
      </c>
      <c r="J7" s="13" t="s">
        <v>74</v>
      </c>
      <c r="K7" s="13" t="s">
        <v>75</v>
      </c>
      <c r="L7" s="17">
        <v>45</v>
      </c>
      <c r="N7" s="13" t="s">
        <v>76</v>
      </c>
      <c r="O7" s="13" t="s">
        <v>77</v>
      </c>
      <c r="P7" s="17" t="s">
        <v>68</v>
      </c>
      <c r="Q7" s="17" t="s">
        <v>69</v>
      </c>
      <c r="S7" s="13" t="s">
        <v>78</v>
      </c>
      <c r="T7" s="13" t="s">
        <v>79</v>
      </c>
      <c r="V7" s="13" t="s">
        <v>80</v>
      </c>
    </row>
    <row r="8" spans="1:22" x14ac:dyDescent="0.2">
      <c r="A8" s="13" t="s">
        <v>81</v>
      </c>
      <c r="B8" s="13" t="s">
        <v>82</v>
      </c>
      <c r="D8" s="18"/>
      <c r="E8" s="19"/>
      <c r="F8" s="20"/>
      <c r="G8" s="16" t="str">
        <f t="shared" si="0"/>
        <v/>
      </c>
      <c r="H8" s="21"/>
      <c r="J8" s="13" t="s">
        <v>83</v>
      </c>
      <c r="K8" s="13" t="s">
        <v>84</v>
      </c>
      <c r="L8" s="17">
        <v>90</v>
      </c>
      <c r="N8" s="13" t="s">
        <v>85</v>
      </c>
      <c r="O8" s="13" t="s">
        <v>86</v>
      </c>
      <c r="P8" s="17" t="s">
        <v>68</v>
      </c>
      <c r="Q8" s="17" t="s">
        <v>87</v>
      </c>
      <c r="S8" s="13" t="s">
        <v>88</v>
      </c>
      <c r="T8" s="13" t="s">
        <v>89</v>
      </c>
      <c r="V8" s="13" t="s">
        <v>87</v>
      </c>
    </row>
    <row r="9" spans="1:22" x14ac:dyDescent="0.2">
      <c r="A9" s="13" t="s">
        <v>90</v>
      </c>
      <c r="B9" s="13" t="s">
        <v>91</v>
      </c>
      <c r="D9" s="18"/>
      <c r="E9" s="19"/>
      <c r="F9" s="20"/>
      <c r="G9" s="16" t="str">
        <f t="shared" si="0"/>
        <v/>
      </c>
      <c r="H9" s="21"/>
      <c r="J9" s="13" t="s">
        <v>92</v>
      </c>
      <c r="K9" s="13" t="s">
        <v>93</v>
      </c>
      <c r="L9" s="17">
        <v>12</v>
      </c>
      <c r="N9" s="13" t="s">
        <v>94</v>
      </c>
      <c r="O9" s="13" t="s">
        <v>95</v>
      </c>
      <c r="P9" s="17" t="s">
        <v>68</v>
      </c>
      <c r="Q9" s="17" t="s">
        <v>87</v>
      </c>
      <c r="S9" s="13" t="s">
        <v>96</v>
      </c>
      <c r="T9" s="13" t="s">
        <v>97</v>
      </c>
      <c r="V9" s="13" t="s">
        <v>98</v>
      </c>
    </row>
    <row r="10" spans="1:22" x14ac:dyDescent="0.2">
      <c r="A10" s="18"/>
      <c r="B10" s="18"/>
      <c r="D10" s="18"/>
      <c r="E10" s="19"/>
      <c r="F10" s="20"/>
      <c r="G10" s="16" t="str">
        <f t="shared" si="0"/>
        <v/>
      </c>
      <c r="H10" s="21"/>
      <c r="J10" s="13" t="s">
        <v>99</v>
      </c>
      <c r="K10" s="13" t="s">
        <v>100</v>
      </c>
      <c r="L10" s="17">
        <v>15</v>
      </c>
      <c r="N10" s="13" t="s">
        <v>101</v>
      </c>
      <c r="O10" s="13" t="s">
        <v>102</v>
      </c>
      <c r="P10" s="17" t="s">
        <v>68</v>
      </c>
      <c r="Q10" s="17" t="s">
        <v>80</v>
      </c>
      <c r="S10" s="13" t="s">
        <v>103</v>
      </c>
      <c r="T10" s="13" t="s">
        <v>104</v>
      </c>
      <c r="V10" s="18"/>
    </row>
    <row r="11" spans="1:22" x14ac:dyDescent="0.2">
      <c r="A11" s="18"/>
      <c r="B11" s="18"/>
      <c r="D11" s="18"/>
      <c r="E11" s="19"/>
      <c r="F11" s="20"/>
      <c r="G11" s="16" t="str">
        <f t="shared" si="0"/>
        <v/>
      </c>
      <c r="H11" s="21"/>
      <c r="J11" s="18"/>
      <c r="K11" s="18"/>
      <c r="L11" s="21"/>
      <c r="N11" s="13" t="s">
        <v>105</v>
      </c>
      <c r="O11" s="13" t="s">
        <v>106</v>
      </c>
      <c r="P11" s="17" t="s">
        <v>68</v>
      </c>
      <c r="Q11" s="17" t="s">
        <v>87</v>
      </c>
      <c r="S11" s="13" t="s">
        <v>107</v>
      </c>
      <c r="T11" s="13" t="s">
        <v>108</v>
      </c>
      <c r="V11" s="18"/>
    </row>
    <row r="12" spans="1:22" x14ac:dyDescent="0.2">
      <c r="A12" s="18"/>
      <c r="B12" s="18"/>
      <c r="J12" s="18"/>
      <c r="K12" s="18"/>
      <c r="L12" s="21"/>
      <c r="N12" s="13" t="s">
        <v>109</v>
      </c>
      <c r="O12" s="13" t="s">
        <v>110</v>
      </c>
      <c r="P12" s="17" t="s">
        <v>68</v>
      </c>
      <c r="Q12" s="17" t="s">
        <v>98</v>
      </c>
      <c r="S12" s="13" t="s">
        <v>111</v>
      </c>
      <c r="T12" s="13" t="s">
        <v>112</v>
      </c>
      <c r="V12" s="18"/>
    </row>
    <row r="13" spans="1:22" x14ac:dyDescent="0.2">
      <c r="A13" s="18"/>
      <c r="B13" s="18"/>
      <c r="D13" s="22" t="s">
        <v>113</v>
      </c>
      <c r="J13" s="18"/>
      <c r="K13" s="18"/>
      <c r="L13" s="21"/>
      <c r="N13" s="13" t="s">
        <v>114</v>
      </c>
      <c r="O13" s="13" t="s">
        <v>115</v>
      </c>
      <c r="P13" s="17" t="s">
        <v>68</v>
      </c>
      <c r="Q13" s="17" t="s">
        <v>87</v>
      </c>
      <c r="S13" s="13" t="s">
        <v>116</v>
      </c>
      <c r="T13" s="13" t="s">
        <v>117</v>
      </c>
      <c r="V13" s="18"/>
    </row>
    <row r="14" spans="1:22" x14ac:dyDescent="0.2">
      <c r="A14" s="18"/>
      <c r="B14" s="18"/>
      <c r="D14" s="23" t="s">
        <v>118</v>
      </c>
      <c r="J14" s="18"/>
      <c r="K14" s="18"/>
      <c r="L14" s="21"/>
      <c r="N14" s="13" t="s">
        <v>119</v>
      </c>
      <c r="O14" s="13" t="s">
        <v>120</v>
      </c>
      <c r="P14" s="17" t="s">
        <v>121</v>
      </c>
      <c r="Q14" s="17" t="s">
        <v>69</v>
      </c>
      <c r="S14" s="18"/>
      <c r="T14" s="18"/>
    </row>
    <row r="15" spans="1:22" x14ac:dyDescent="0.2">
      <c r="A15" s="18"/>
      <c r="B15" s="18"/>
      <c r="D15" s="24" t="s">
        <v>122</v>
      </c>
      <c r="J15" s="18"/>
      <c r="K15" s="18"/>
      <c r="L15" s="21"/>
      <c r="N15" s="13" t="s">
        <v>123</v>
      </c>
      <c r="O15" s="13" t="s">
        <v>124</v>
      </c>
      <c r="P15" s="17" t="s">
        <v>121</v>
      </c>
      <c r="Q15" s="17" t="s">
        <v>80</v>
      </c>
      <c r="S15" s="18"/>
      <c r="T15" s="18"/>
    </row>
    <row r="16" spans="1:22" x14ac:dyDescent="0.2">
      <c r="A16" s="18"/>
      <c r="B16" s="18"/>
      <c r="J16" s="18"/>
      <c r="K16" s="18"/>
      <c r="L16" s="21"/>
      <c r="N16" s="18"/>
      <c r="O16" s="18"/>
      <c r="P16" s="21"/>
      <c r="Q16" s="21"/>
      <c r="S16" s="18"/>
      <c r="T16" s="18"/>
    </row>
    <row r="17" spans="1:20" x14ac:dyDescent="0.2">
      <c r="A17" s="18"/>
      <c r="B17" s="18"/>
      <c r="J17" s="18"/>
      <c r="K17" s="18"/>
      <c r="L17" s="21"/>
      <c r="N17" s="18"/>
      <c r="O17" s="18"/>
      <c r="P17" s="21"/>
      <c r="Q17" s="21"/>
      <c r="S17" s="18"/>
      <c r="T17" s="18"/>
    </row>
    <row r="18" spans="1:20" x14ac:dyDescent="0.2">
      <c r="A18" s="18"/>
      <c r="B18" s="18"/>
      <c r="J18" s="18"/>
      <c r="K18" s="18"/>
      <c r="L18" s="21"/>
      <c r="N18" s="18"/>
      <c r="O18" s="18"/>
      <c r="P18" s="21"/>
      <c r="Q18" s="21"/>
      <c r="S18" s="18"/>
      <c r="T18" s="18"/>
    </row>
    <row r="19" spans="1:20" x14ac:dyDescent="0.2">
      <c r="A19" s="18"/>
      <c r="B19" s="18"/>
      <c r="J19" s="18"/>
      <c r="K19" s="18"/>
      <c r="L19" s="21"/>
      <c r="N19" s="18"/>
      <c r="O19" s="18"/>
      <c r="P19" s="21"/>
      <c r="Q19" s="21"/>
      <c r="S19" s="18"/>
      <c r="T19" s="18"/>
    </row>
    <row r="20" spans="1:20" x14ac:dyDescent="0.2">
      <c r="A20" s="18"/>
      <c r="B20" s="18"/>
      <c r="J20" s="18"/>
      <c r="K20" s="18"/>
      <c r="L20" s="21"/>
      <c r="N20" s="18"/>
      <c r="O20" s="18"/>
      <c r="P20" s="21"/>
      <c r="Q20" s="21"/>
      <c r="S20" s="18"/>
      <c r="T20" s="18"/>
    </row>
    <row r="21" spans="1:20" x14ac:dyDescent="0.2">
      <c r="A21" s="18"/>
      <c r="B21" s="18"/>
      <c r="J21" s="18"/>
      <c r="K21" s="18"/>
      <c r="L21" s="21"/>
      <c r="N21" s="18"/>
      <c r="O21" s="18"/>
      <c r="P21" s="21"/>
      <c r="Q21" s="21"/>
      <c r="S21" s="18"/>
      <c r="T21" s="18"/>
    </row>
    <row r="22" spans="1:20" x14ac:dyDescent="0.2">
      <c r="A22" s="18"/>
      <c r="B22" s="18"/>
      <c r="J22" s="18"/>
      <c r="K22" s="18"/>
      <c r="L22" s="21"/>
      <c r="N22" s="18"/>
      <c r="O22" s="18"/>
      <c r="P22" s="21"/>
      <c r="Q22" s="21"/>
      <c r="S22" s="18"/>
      <c r="T22" s="18"/>
    </row>
    <row r="23" spans="1:20" x14ac:dyDescent="0.2">
      <c r="A23" s="18"/>
      <c r="B23" s="18"/>
      <c r="J23" s="18"/>
      <c r="K23" s="18"/>
      <c r="L23" s="21"/>
      <c r="N23" s="18"/>
      <c r="O23" s="18"/>
      <c r="P23" s="21"/>
      <c r="Q23" s="21"/>
      <c r="S23" s="18"/>
      <c r="T23" s="18"/>
    </row>
    <row r="24" spans="1:20" x14ac:dyDescent="0.2">
      <c r="A24" s="18"/>
      <c r="B24" s="18"/>
      <c r="J24" s="18"/>
      <c r="K24" s="18"/>
      <c r="L24" s="21"/>
      <c r="N24" s="18"/>
      <c r="O24" s="18"/>
      <c r="P24" s="21"/>
      <c r="Q24" s="21"/>
      <c r="S24" s="18"/>
      <c r="T24" s="18"/>
    </row>
    <row r="25" spans="1:20" x14ac:dyDescent="0.2">
      <c r="A25" s="18"/>
      <c r="B25" s="18"/>
      <c r="J25" s="18"/>
      <c r="K25" s="18"/>
      <c r="L25" s="21"/>
      <c r="N25" s="18"/>
      <c r="O25" s="18"/>
      <c r="P25" s="21"/>
      <c r="Q25" s="21"/>
      <c r="S25" s="18"/>
      <c r="T25" s="18"/>
    </row>
    <row r="26" spans="1:20" x14ac:dyDescent="0.2">
      <c r="J26" s="18"/>
      <c r="K26" s="18"/>
      <c r="L26" s="21"/>
      <c r="N26" s="18"/>
      <c r="O26" s="18"/>
      <c r="P26" s="21"/>
      <c r="Q26" s="21"/>
      <c r="S26" s="18"/>
      <c r="T26" s="18"/>
    </row>
    <row r="27" spans="1:20" x14ac:dyDescent="0.2">
      <c r="J27" s="18"/>
      <c r="K27" s="18"/>
      <c r="L27" s="21"/>
      <c r="N27" s="18"/>
      <c r="O27" s="18"/>
      <c r="P27" s="21"/>
      <c r="Q27" s="21"/>
      <c r="S27" s="18"/>
      <c r="T27" s="18"/>
    </row>
    <row r="28" spans="1:20" x14ac:dyDescent="0.2">
      <c r="J28" s="18"/>
      <c r="K28" s="18"/>
      <c r="L28" s="21"/>
      <c r="N28" s="18"/>
      <c r="O28" s="18"/>
      <c r="P28" s="21"/>
      <c r="Q28" s="21"/>
      <c r="S28" s="18"/>
      <c r="T28" s="18"/>
    </row>
    <row r="29" spans="1:20" x14ac:dyDescent="0.2">
      <c r="J29" s="18"/>
      <c r="K29" s="18"/>
      <c r="L29" s="21"/>
      <c r="N29" s="18"/>
      <c r="O29" s="18"/>
      <c r="P29" s="21"/>
      <c r="Q29" s="21"/>
      <c r="S29" s="18"/>
      <c r="T29" s="18"/>
    </row>
    <row r="30" spans="1:20" x14ac:dyDescent="0.2">
      <c r="J30" s="18"/>
      <c r="K30" s="18"/>
      <c r="L30" s="21"/>
      <c r="N30" s="18"/>
      <c r="O30" s="18"/>
      <c r="P30" s="21"/>
      <c r="Q30" s="21"/>
      <c r="S30" s="18"/>
      <c r="T30" s="18"/>
    </row>
    <row r="31" spans="1:20" x14ac:dyDescent="0.2">
      <c r="J31" s="18"/>
      <c r="K31" s="18"/>
      <c r="L31" s="21"/>
      <c r="N31" s="18"/>
      <c r="O31" s="18"/>
      <c r="P31" s="21"/>
      <c r="Q31" s="21"/>
      <c r="S31" s="18"/>
      <c r="T31" s="18"/>
    </row>
    <row r="32" spans="1:20" x14ac:dyDescent="0.2">
      <c r="J32" s="18"/>
      <c r="K32" s="18"/>
      <c r="L32" s="21"/>
      <c r="N32" s="18"/>
      <c r="O32" s="18"/>
      <c r="P32" s="21"/>
      <c r="Q32" s="21"/>
      <c r="S32" s="18"/>
      <c r="T32" s="18"/>
    </row>
    <row r="33" spans="10:20" x14ac:dyDescent="0.2">
      <c r="J33" s="18"/>
      <c r="K33" s="18"/>
      <c r="L33" s="21"/>
      <c r="N33" s="18"/>
      <c r="O33" s="18"/>
      <c r="P33" s="21"/>
      <c r="Q33" s="21"/>
      <c r="S33" s="18"/>
      <c r="T33" s="18"/>
    </row>
    <row r="34" spans="10:20" x14ac:dyDescent="0.2">
      <c r="J34" s="18"/>
      <c r="K34" s="18"/>
      <c r="L34" s="21"/>
      <c r="N34" s="18"/>
      <c r="O34" s="18"/>
      <c r="P34" s="21"/>
      <c r="Q34" s="21"/>
      <c r="S34" s="18"/>
      <c r="T34" s="18"/>
    </row>
    <row r="35" spans="10:20" x14ac:dyDescent="0.2">
      <c r="J35" s="18"/>
      <c r="K35" s="18"/>
      <c r="L35" s="21"/>
      <c r="N35" s="18"/>
      <c r="O35" s="18"/>
      <c r="P35" s="21"/>
      <c r="Q35" s="21"/>
      <c r="S35" s="18"/>
      <c r="T35" s="18"/>
    </row>
    <row r="36" spans="10:20" x14ac:dyDescent="0.2">
      <c r="J36" s="18"/>
      <c r="K36" s="18"/>
      <c r="L36" s="21"/>
      <c r="S36" s="18"/>
      <c r="T36" s="18"/>
    </row>
    <row r="37" spans="10:20" x14ac:dyDescent="0.2">
      <c r="J37" s="18"/>
      <c r="K37" s="18"/>
      <c r="L37" s="21"/>
      <c r="S37" s="18"/>
      <c r="T37" s="18"/>
    </row>
    <row r="38" spans="10:20" x14ac:dyDescent="0.2">
      <c r="J38" s="18"/>
      <c r="K38" s="18"/>
      <c r="L38" s="21"/>
      <c r="S38" s="18"/>
      <c r="T38" s="18"/>
    </row>
    <row r="39" spans="10:20" x14ac:dyDescent="0.2">
      <c r="J39" s="18"/>
      <c r="K39" s="18"/>
      <c r="L39" s="21"/>
      <c r="S39" s="18"/>
      <c r="T39" s="18"/>
    </row>
    <row r="40" spans="10:20" x14ac:dyDescent="0.2">
      <c r="J40" s="18"/>
      <c r="K40" s="18"/>
      <c r="L40" s="21"/>
      <c r="S40" s="18"/>
      <c r="T40" s="18"/>
    </row>
    <row r="41" spans="10:20" x14ac:dyDescent="0.2">
      <c r="J41" s="18"/>
      <c r="K41" s="18"/>
      <c r="L41" s="21"/>
      <c r="S41" s="18"/>
      <c r="T41" s="18"/>
    </row>
    <row r="42" spans="10:20" x14ac:dyDescent="0.2">
      <c r="J42" s="18"/>
      <c r="K42" s="18"/>
      <c r="L42" s="21"/>
      <c r="S42" s="18"/>
      <c r="T42" s="18"/>
    </row>
    <row r="43" spans="10:20" x14ac:dyDescent="0.2">
      <c r="J43" s="18"/>
      <c r="K43" s="18"/>
      <c r="L43" s="21"/>
      <c r="S43" s="18"/>
      <c r="T43" s="18"/>
    </row>
    <row r="44" spans="10:20" x14ac:dyDescent="0.2">
      <c r="J44" s="18"/>
      <c r="K44" s="18"/>
      <c r="L44" s="21"/>
      <c r="S44" s="18"/>
      <c r="T44" s="18"/>
    </row>
    <row r="45" spans="10:20" x14ac:dyDescent="0.2">
      <c r="J45" s="18"/>
      <c r="K45" s="18"/>
      <c r="L45" s="21"/>
      <c r="S45" s="18"/>
      <c r="T45" s="18"/>
    </row>
    <row r="46" spans="10:20" x14ac:dyDescent="0.2">
      <c r="J46" s="18"/>
      <c r="K46" s="18"/>
      <c r="L46" s="21"/>
      <c r="S46" s="18"/>
      <c r="T46" s="18"/>
    </row>
    <row r="47" spans="10:20" x14ac:dyDescent="0.2">
      <c r="J47" s="18"/>
      <c r="K47" s="18"/>
      <c r="L47" s="21"/>
      <c r="S47" s="18"/>
      <c r="T47" s="18"/>
    </row>
    <row r="48" spans="10:20" x14ac:dyDescent="0.2">
      <c r="J48" s="18"/>
      <c r="K48" s="18"/>
      <c r="L48" s="21"/>
      <c r="S48" s="18"/>
      <c r="T48" s="18"/>
    </row>
    <row r="49" spans="10:20" x14ac:dyDescent="0.2">
      <c r="J49" s="18"/>
      <c r="K49" s="18"/>
      <c r="L49" s="21"/>
      <c r="S49" s="18"/>
      <c r="T49" s="18"/>
    </row>
    <row r="50" spans="10:20" x14ac:dyDescent="0.2">
      <c r="J50" s="18"/>
      <c r="K50" s="18"/>
      <c r="L50" s="21"/>
      <c r="S50" s="18"/>
      <c r="T50" s="18"/>
    </row>
    <row r="51" spans="10:20" x14ac:dyDescent="0.2">
      <c r="J51" s="18"/>
      <c r="K51" s="18"/>
      <c r="L51" s="21"/>
      <c r="S51" s="18"/>
      <c r="T51" s="18"/>
    </row>
    <row r="52" spans="10:20" x14ac:dyDescent="0.2">
      <c r="J52" s="18"/>
      <c r="K52" s="18"/>
      <c r="L52" s="21"/>
      <c r="S52" s="18"/>
      <c r="T52" s="18"/>
    </row>
    <row r="53" spans="10:20" x14ac:dyDescent="0.2">
      <c r="J53" s="18"/>
      <c r="K53" s="18"/>
      <c r="L53" s="21"/>
      <c r="S53" s="18"/>
      <c r="T53" s="18"/>
    </row>
    <row r="54" spans="10:20" x14ac:dyDescent="0.2">
      <c r="J54" s="18"/>
      <c r="K54" s="18"/>
      <c r="L54" s="21"/>
      <c r="S54" s="18"/>
      <c r="T54" s="18"/>
    </row>
    <row r="55" spans="10:20" x14ac:dyDescent="0.2">
      <c r="J55" s="18"/>
      <c r="K55" s="18"/>
      <c r="L55" s="21"/>
      <c r="S55" s="18"/>
      <c r="T55" s="18"/>
    </row>
  </sheetData>
  <dataValidations count="2">
    <dataValidation type="list" allowBlank="1" showErrorMessage="1" sqref="P6:P35" xr:uid="{00000000-0002-0000-0100-000000000000}">
      <formula1>"Ngoài kế hoạch,Có kế hoạch"</formula1>
    </dataValidation>
    <dataValidation type="list" allowBlank="1" showErrorMessage="1" errorTitle="Không có trong danh sách" error="Chọn bộ phận ở cột Bộ phận bên phải." sqref="Q6:Q35" xr:uid="{00000000-0002-0000-0100-000001000000}">
      <formula1>DS_BP</formula1>
    </dataValidation>
  </dataValidations>
  <hyperlinks>
    <hyperlink ref="A3" location="'Bắt đầu'!A1" display="← Về trang Bắt đầu" xr:uid="{00000000-0004-0000-0100-000000000000}"/>
  </hyperlinks>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505"/>
  <sheetViews>
    <sheetView showGridLines="0" workbookViewId="0">
      <pane xSplit="3" ySplit="5" topLeftCell="D6" activePane="bottomRight" state="frozen"/>
      <selection pane="topRight"/>
      <selection pane="bottomLeft"/>
      <selection pane="bottomRight"/>
    </sheetView>
  </sheetViews>
  <sheetFormatPr baseColWidth="10" defaultColWidth="8.83203125" defaultRowHeight="15" x14ac:dyDescent="0.2"/>
  <cols>
    <col min="1" max="1" width="11" customWidth="1"/>
    <col min="2" max="2" width="6" customWidth="1"/>
    <col min="3" max="3" width="12" customWidth="1"/>
    <col min="4" max="4" width="9" customWidth="1"/>
    <col min="5" max="5" width="8" customWidth="1"/>
    <col min="6" max="6" width="13" customWidth="1"/>
    <col min="7" max="7" width="9" customWidth="1"/>
    <col min="8" max="8" width="10" customWidth="1"/>
    <col min="9" max="9" width="8" customWidth="1"/>
    <col min="10" max="10" width="12" customWidth="1"/>
    <col min="11" max="11" width="24" customWidth="1"/>
    <col min="12" max="13" width="9" customWidth="1"/>
    <col min="14" max="14" width="8" customWidth="1"/>
    <col min="15" max="15" width="9" customWidth="1"/>
    <col min="16" max="17" width="10" customWidth="1"/>
    <col min="18" max="18" width="8" customWidth="1"/>
    <col min="19" max="21" width="10" customWidth="1"/>
    <col min="22" max="22" width="11" customWidth="1"/>
    <col min="23" max="23" width="8" customWidth="1"/>
    <col min="24" max="24" width="40" customWidth="1"/>
    <col min="25" max="25" width="16" customWidth="1"/>
  </cols>
  <sheetData>
    <row r="1" spans="1:25" ht="18" x14ac:dyDescent="0.2">
      <c r="A1" s="9" t="s">
        <v>125</v>
      </c>
    </row>
    <row r="2" spans="1:25" x14ac:dyDescent="0.2">
      <c r="A2" s="2" t="s">
        <v>126</v>
      </c>
    </row>
    <row r="3" spans="1:25" x14ac:dyDescent="0.2">
      <c r="A3" s="10" t="s">
        <v>37</v>
      </c>
    </row>
    <row r="5" spans="1:25" ht="56" customHeight="1" x14ac:dyDescent="0.2">
      <c r="A5" s="12" t="s">
        <v>127</v>
      </c>
      <c r="B5" s="12" t="s">
        <v>46</v>
      </c>
      <c r="C5" s="12" t="s">
        <v>44</v>
      </c>
      <c r="D5" s="12" t="s">
        <v>128</v>
      </c>
      <c r="E5" s="12" t="s">
        <v>51</v>
      </c>
      <c r="F5" s="12" t="s">
        <v>129</v>
      </c>
      <c r="G5" s="12" t="s">
        <v>130</v>
      </c>
      <c r="H5" s="12" t="s">
        <v>131</v>
      </c>
      <c r="I5" s="12" t="s">
        <v>132</v>
      </c>
      <c r="J5" s="12" t="s">
        <v>133</v>
      </c>
      <c r="K5" s="12" t="s">
        <v>134</v>
      </c>
      <c r="L5" s="12" t="s">
        <v>135</v>
      </c>
      <c r="M5" s="12" t="s">
        <v>136</v>
      </c>
      <c r="N5" s="12" t="s">
        <v>137</v>
      </c>
      <c r="O5" s="12" t="s">
        <v>138</v>
      </c>
      <c r="P5" s="12" t="s">
        <v>139</v>
      </c>
      <c r="Q5" s="12" t="s">
        <v>140</v>
      </c>
      <c r="R5" s="12" t="s">
        <v>141</v>
      </c>
      <c r="S5" s="12" t="s">
        <v>142</v>
      </c>
      <c r="T5" s="12" t="s">
        <v>143</v>
      </c>
      <c r="U5" s="12" t="s">
        <v>144</v>
      </c>
      <c r="V5" s="12" t="s">
        <v>145</v>
      </c>
      <c r="W5" s="12" t="s">
        <v>146</v>
      </c>
      <c r="X5" s="12" t="s">
        <v>147</v>
      </c>
      <c r="Y5" s="12" t="s">
        <v>148</v>
      </c>
    </row>
    <row r="6" spans="1:25" x14ac:dyDescent="0.2">
      <c r="A6" s="25">
        <v>46286</v>
      </c>
      <c r="B6" s="17" t="s">
        <v>63</v>
      </c>
      <c r="C6" s="13" t="s">
        <v>61</v>
      </c>
      <c r="D6" s="17" t="s">
        <v>70</v>
      </c>
      <c r="E6" s="17" t="s">
        <v>64</v>
      </c>
      <c r="F6" s="17" t="s">
        <v>149</v>
      </c>
      <c r="G6" s="26">
        <v>380</v>
      </c>
      <c r="H6" s="26">
        <v>292</v>
      </c>
      <c r="I6" s="26">
        <v>4</v>
      </c>
      <c r="J6" s="27">
        <v>46287.385416666657</v>
      </c>
      <c r="K6" s="18"/>
      <c r="L6" s="28">
        <f t="shared" ref="L6:L69" si="0">IF($C6="","",H6-I6)</f>
        <v>288</v>
      </c>
      <c r="M6" s="29">
        <f t="shared" ref="M6:M69" si="1">IF(OR($C6="",N(G6)&lt;=0),"",L6/G6)</f>
        <v>0.75789473684210529</v>
      </c>
      <c r="N6" s="29">
        <f t="shared" ref="N6:N69" si="2">IF(OR($C6="",N(H6)&lt;=0),"",I6/H6)</f>
        <v>1.3698630136986301E-2</v>
      </c>
      <c r="O6" s="30">
        <f t="shared" ref="O6:O69" si="3">IF($C6="","",IFERROR(INDEX(MH_CT,MATCH(E6,DS_MH,0)),"?"))</f>
        <v>60</v>
      </c>
      <c r="P6" s="28">
        <f>IF($C6="","",IFERROR(INDEX(CA_TG,MATCH(B6,DS_CA,0))-INDEX(CA_NGHI,MATCH(B6,DS_CA,0))-SUMIFS('3 Nhật ký dừng máy'!$I$6:$I$1005,'3 Nhật ký dừng máy'!$A$6:$A$1005,$A6,'3 Nhật ký dừng máy'!$B$6:$B$1005,$B6,'3 Nhật ký dừng máy'!$C$6:$C$1005,$C6,'3 Nhật ký dừng máy'!$K$6:$K$1005,"Có kế hoạch"),"?"))</f>
        <v>420</v>
      </c>
      <c r="Q6" s="28">
        <f>IF($C6="","",SUMIFS('3 Nhật ký dừng máy'!$I$6:$I$1005,'3 Nhật ký dừng máy'!$A$6:$A$1005,$A6,'3 Nhật ký dừng máy'!$B$6:$B$1005,$B6,'3 Nhật ký dừng máy'!$C$6:$C$1005,$C6,'3 Nhật ký dừng máy'!$K$6:$K$1005,"Ngoài kế hoạch"))</f>
        <v>90</v>
      </c>
      <c r="R6" s="30">
        <f>IF($C6="","",COUNTIFS('3 Nhật ký dừng máy'!$A$6:$A$1005,$A6,'3 Nhật ký dừng máy'!$B$6:$B$1005,$B6,'3 Nhật ký dừng máy'!$C$6:$C$1005,$C6,'3 Nhật ký dừng máy'!$K$6:$K$1005,"Ngoài kế hoạch"))</f>
        <v>2</v>
      </c>
      <c r="S6" s="31">
        <f t="shared" ref="S6:S69" si="4">IF($C6="","",IFERROR(H6*O6/60,"?"))</f>
        <v>292</v>
      </c>
      <c r="T6" s="31">
        <f t="shared" ref="T6:T69" si="5">IF($C6="","",IFERROR(P6-Q6-S6,"?"))</f>
        <v>38</v>
      </c>
      <c r="U6" s="31">
        <f t="shared" ref="U6:U69" si="6">IF($C6="","",IFERROR(L6*O6/60,"?"))</f>
        <v>288</v>
      </c>
      <c r="V6" s="32">
        <f t="shared" ref="V6:V69" si="7">IF($C6="","",IFERROR(U6/P6,"?"))</f>
        <v>0.68571428571428572</v>
      </c>
      <c r="W6" s="30">
        <f t="shared" ref="W6:W69" si="8">IF(OR($C6="",J6=""),"",INT(J6)-A6)</f>
        <v>1</v>
      </c>
      <c r="X6" s="33" t="str">
        <f t="shared" ref="X6:X69" si="9">IF($C6="","",IFERROR(LEFT(IF(N(T6)&lt;0,"Nhanh hơn chu kỳ chuẩn — chuẩn đặt rộng?; ","")&amp;IF(D6="","Thiếu người đứng máy; ","")&amp;IF(R6=0,"Không ghi lần dừng nào; ","")&amp;IF(COUNTIF($Y$6:$Y$505,Y6)&gt;1,"Trùng dòng máy × ca; ",""),LEN(IF(N(T6)&lt;0,"Nhanh hơn chu kỳ chuẩn — chuẩn đặt rộng?; ","")&amp;IF(D6="","Thiếu người đứng máy; ","")&amp;IF(R6=0,"Không ghi lần dừng nào; ","")&amp;IF(COUNTIF($Y$6:$Y$505,Y6)&gt;1,"Trùng dòng máy × ca; ",""))-2),""))</f>
        <v/>
      </c>
      <c r="Y6" s="34" t="str">
        <f t="shared" ref="Y6:Y69" si="10">IF($C6="","",A6&amp;"|"&amp;B6&amp;"|"&amp;C6)</f>
        <v>46286|Ca 1|Máy tiện 1</v>
      </c>
    </row>
    <row r="7" spans="1:25" x14ac:dyDescent="0.2">
      <c r="A7" s="25">
        <v>46286</v>
      </c>
      <c r="B7" s="17" t="s">
        <v>63</v>
      </c>
      <c r="C7" s="13" t="s">
        <v>72</v>
      </c>
      <c r="D7" s="17" t="s">
        <v>78</v>
      </c>
      <c r="E7" s="17" t="s">
        <v>74</v>
      </c>
      <c r="F7" s="17" t="s">
        <v>150</v>
      </c>
      <c r="G7" s="26">
        <v>500</v>
      </c>
      <c r="H7" s="26">
        <v>466</v>
      </c>
      <c r="I7" s="26">
        <v>6</v>
      </c>
      <c r="J7" s="27">
        <v>46287.336805555547</v>
      </c>
      <c r="K7" s="18"/>
      <c r="L7" s="28">
        <f t="shared" si="0"/>
        <v>460</v>
      </c>
      <c r="M7" s="29">
        <f t="shared" si="1"/>
        <v>0.92</v>
      </c>
      <c r="N7" s="29">
        <f t="shared" si="2"/>
        <v>1.2875536480686695E-2</v>
      </c>
      <c r="O7" s="30">
        <f t="shared" si="3"/>
        <v>45</v>
      </c>
      <c r="P7" s="28">
        <f>IF($C7="","",IFERROR(INDEX(CA_TG,MATCH(B7,DS_CA,0))-INDEX(CA_NGHI,MATCH(B7,DS_CA,0))-SUMIFS('3 Nhật ký dừng máy'!$I$6:$I$1005,'3 Nhật ký dừng máy'!$A$6:$A$1005,$A7,'3 Nhật ký dừng máy'!$B$6:$B$1005,$B7,'3 Nhật ký dừng máy'!$C$6:$C$1005,$C7,'3 Nhật ký dừng máy'!$K$6:$K$1005,"Có kế hoạch"),"?"))</f>
        <v>420</v>
      </c>
      <c r="Q7" s="28">
        <f>IF($C7="","",SUMIFS('3 Nhật ký dừng máy'!$I$6:$I$1005,'3 Nhật ký dừng máy'!$A$6:$A$1005,$A7,'3 Nhật ký dừng máy'!$B$6:$B$1005,$B7,'3 Nhật ký dừng máy'!$C$6:$C$1005,$C7,'3 Nhật ký dừng máy'!$K$6:$K$1005,"Ngoài kế hoạch"))</f>
        <v>30</v>
      </c>
      <c r="R7" s="30">
        <f>IF($C7="","",COUNTIFS('3 Nhật ký dừng máy'!$A$6:$A$1005,$A7,'3 Nhật ký dừng máy'!$B$6:$B$1005,$B7,'3 Nhật ký dừng máy'!$C$6:$C$1005,$C7,'3 Nhật ký dừng máy'!$K$6:$K$1005,"Ngoài kế hoạch"))</f>
        <v>1</v>
      </c>
      <c r="S7" s="31">
        <f t="shared" si="4"/>
        <v>349.5</v>
      </c>
      <c r="T7" s="31">
        <f t="shared" si="5"/>
        <v>40.5</v>
      </c>
      <c r="U7" s="31">
        <f t="shared" si="6"/>
        <v>345</v>
      </c>
      <c r="V7" s="32">
        <f t="shared" si="7"/>
        <v>0.8214285714285714</v>
      </c>
      <c r="W7" s="30">
        <f t="shared" si="8"/>
        <v>1</v>
      </c>
      <c r="X7" s="33" t="str">
        <f t="shared" si="9"/>
        <v/>
      </c>
      <c r="Y7" s="34" t="str">
        <f t="shared" si="10"/>
        <v>46286|Ca 1|Máy tiện 2</v>
      </c>
    </row>
    <row r="8" spans="1:25" x14ac:dyDescent="0.2">
      <c r="A8" s="25">
        <v>46286</v>
      </c>
      <c r="B8" s="17" t="s">
        <v>63</v>
      </c>
      <c r="C8" s="13" t="s">
        <v>81</v>
      </c>
      <c r="D8" s="17" t="s">
        <v>88</v>
      </c>
      <c r="E8" s="17" t="s">
        <v>83</v>
      </c>
      <c r="F8" s="17" t="s">
        <v>151</v>
      </c>
      <c r="G8" s="26">
        <v>250</v>
      </c>
      <c r="H8" s="26">
        <v>218</v>
      </c>
      <c r="I8" s="26">
        <v>3</v>
      </c>
      <c r="J8" s="27">
        <v>46287.4375</v>
      </c>
      <c r="K8" s="18"/>
      <c r="L8" s="28">
        <f t="shared" si="0"/>
        <v>215</v>
      </c>
      <c r="M8" s="29">
        <f t="shared" si="1"/>
        <v>0.86</v>
      </c>
      <c r="N8" s="29">
        <f t="shared" si="2"/>
        <v>1.3761467889908258E-2</v>
      </c>
      <c r="O8" s="30">
        <f t="shared" si="3"/>
        <v>90</v>
      </c>
      <c r="P8" s="28">
        <f>IF($C8="","",IFERROR(INDEX(CA_TG,MATCH(B8,DS_CA,0))-INDEX(CA_NGHI,MATCH(B8,DS_CA,0))-SUMIFS('3 Nhật ký dừng máy'!$I$6:$I$1005,'3 Nhật ký dừng máy'!$A$6:$A$1005,$A8,'3 Nhật ký dừng máy'!$B$6:$B$1005,$B8,'3 Nhật ký dừng máy'!$C$6:$C$1005,$C8,'3 Nhật ký dừng máy'!$K$6:$K$1005,"Có kế hoạch"),"?"))</f>
        <v>420</v>
      </c>
      <c r="Q8" s="28">
        <f>IF($C8="","",SUMIFS('3 Nhật ký dừng máy'!$I$6:$I$1005,'3 Nhật ký dừng máy'!$A$6:$A$1005,$A8,'3 Nhật ký dừng máy'!$B$6:$B$1005,$B8,'3 Nhật ký dừng máy'!$C$6:$C$1005,$C8,'3 Nhật ký dừng máy'!$K$6:$K$1005,"Ngoài kế hoạch"))</f>
        <v>50</v>
      </c>
      <c r="R8" s="30">
        <f>IF($C8="","",COUNTIFS('3 Nhật ký dừng máy'!$A$6:$A$1005,$A8,'3 Nhật ký dừng máy'!$B$6:$B$1005,$B8,'3 Nhật ký dừng máy'!$C$6:$C$1005,$C8,'3 Nhật ký dừng máy'!$K$6:$K$1005,"Ngoài kế hoạch"))</f>
        <v>2</v>
      </c>
      <c r="S8" s="31">
        <f t="shared" si="4"/>
        <v>327</v>
      </c>
      <c r="T8" s="31">
        <f t="shared" si="5"/>
        <v>43</v>
      </c>
      <c r="U8" s="31">
        <f t="shared" si="6"/>
        <v>322.5</v>
      </c>
      <c r="V8" s="32">
        <f t="shared" si="7"/>
        <v>0.7678571428571429</v>
      </c>
      <c r="W8" s="30">
        <f t="shared" si="8"/>
        <v>1</v>
      </c>
      <c r="X8" s="33" t="str">
        <f t="shared" si="9"/>
        <v/>
      </c>
      <c r="Y8" s="34" t="str">
        <f t="shared" si="10"/>
        <v>46286|Ca 1|Máy phay 1</v>
      </c>
    </row>
    <row r="9" spans="1:25" x14ac:dyDescent="0.2">
      <c r="A9" s="25">
        <v>46286</v>
      </c>
      <c r="B9" s="17" t="s">
        <v>63</v>
      </c>
      <c r="C9" s="13" t="s">
        <v>90</v>
      </c>
      <c r="D9" s="17" t="s">
        <v>96</v>
      </c>
      <c r="E9" s="17" t="s">
        <v>92</v>
      </c>
      <c r="F9" s="17" t="s">
        <v>152</v>
      </c>
      <c r="G9" s="26">
        <v>1800</v>
      </c>
      <c r="H9" s="26">
        <v>1544</v>
      </c>
      <c r="I9" s="26">
        <v>22</v>
      </c>
      <c r="J9" s="27">
        <v>46286.607638888891</v>
      </c>
      <c r="K9" s="18"/>
      <c r="L9" s="28">
        <f t="shared" si="0"/>
        <v>1522</v>
      </c>
      <c r="M9" s="29">
        <f t="shared" si="1"/>
        <v>0.8455555555555555</v>
      </c>
      <c r="N9" s="29">
        <f t="shared" si="2"/>
        <v>1.4248704663212436E-2</v>
      </c>
      <c r="O9" s="30">
        <f t="shared" si="3"/>
        <v>12</v>
      </c>
      <c r="P9" s="28">
        <f>IF($C9="","",IFERROR(INDEX(CA_TG,MATCH(B9,DS_CA,0))-INDEX(CA_NGHI,MATCH(B9,DS_CA,0))-SUMIFS('3 Nhật ký dừng máy'!$I$6:$I$1005,'3 Nhật ký dừng máy'!$A$6:$A$1005,$A9,'3 Nhật ký dừng máy'!$B$6:$B$1005,$B9,'3 Nhật ký dừng máy'!$C$6:$C$1005,$C9,'3 Nhật ký dừng máy'!$K$6:$K$1005,"Có kế hoạch"),"?"))</f>
        <v>420</v>
      </c>
      <c r="Q9" s="28">
        <f>IF($C9="","",SUMIFS('3 Nhật ký dừng máy'!$I$6:$I$1005,'3 Nhật ký dừng máy'!$A$6:$A$1005,$A9,'3 Nhật ký dừng máy'!$B$6:$B$1005,$B9,'3 Nhật ký dừng máy'!$C$6:$C$1005,$C9,'3 Nhật ký dừng máy'!$K$6:$K$1005,"Ngoài kế hoạch"))</f>
        <v>30</v>
      </c>
      <c r="R9" s="30">
        <f>IF($C9="","",COUNTIFS('3 Nhật ký dừng máy'!$A$6:$A$1005,$A9,'3 Nhật ký dừng máy'!$B$6:$B$1005,$B9,'3 Nhật ký dừng máy'!$C$6:$C$1005,$C9,'3 Nhật ký dừng máy'!$K$6:$K$1005,"Ngoài kế hoạch"))</f>
        <v>1</v>
      </c>
      <c r="S9" s="31">
        <f t="shared" si="4"/>
        <v>308.8</v>
      </c>
      <c r="T9" s="31">
        <f t="shared" si="5"/>
        <v>81.199999999999989</v>
      </c>
      <c r="U9" s="31">
        <f t="shared" si="6"/>
        <v>304.39999999999998</v>
      </c>
      <c r="V9" s="32">
        <f t="shared" si="7"/>
        <v>0.72476190476190472</v>
      </c>
      <c r="W9" s="30">
        <f t="shared" si="8"/>
        <v>0</v>
      </c>
      <c r="X9" s="33" t="str">
        <f t="shared" si="9"/>
        <v/>
      </c>
      <c r="Y9" s="34" t="str">
        <f t="shared" si="10"/>
        <v>46286|Ca 1|Máy dập 1</v>
      </c>
    </row>
    <row r="10" spans="1:25" x14ac:dyDescent="0.2">
      <c r="A10" s="25">
        <v>46286</v>
      </c>
      <c r="B10" s="17" t="s">
        <v>73</v>
      </c>
      <c r="C10" s="13" t="s">
        <v>61</v>
      </c>
      <c r="D10" s="17" t="s">
        <v>103</v>
      </c>
      <c r="E10" s="17" t="s">
        <v>64</v>
      </c>
      <c r="F10" s="17" t="s">
        <v>149</v>
      </c>
      <c r="G10" s="26">
        <v>380</v>
      </c>
      <c r="H10" s="26">
        <v>320</v>
      </c>
      <c r="I10" s="26">
        <v>6</v>
      </c>
      <c r="J10" s="27">
        <v>46287.336805555547</v>
      </c>
      <c r="K10" s="18"/>
      <c r="L10" s="28">
        <f t="shared" si="0"/>
        <v>314</v>
      </c>
      <c r="M10" s="29">
        <f t="shared" si="1"/>
        <v>0.82631578947368423</v>
      </c>
      <c r="N10" s="29">
        <f t="shared" si="2"/>
        <v>1.8749999999999999E-2</v>
      </c>
      <c r="O10" s="30">
        <f t="shared" si="3"/>
        <v>60</v>
      </c>
      <c r="P10" s="28">
        <f>IF($C10="","",IFERROR(INDEX(CA_TG,MATCH(B10,DS_CA,0))-INDEX(CA_NGHI,MATCH(B10,DS_CA,0))-SUMIFS('3 Nhật ký dừng máy'!$I$6:$I$1005,'3 Nhật ký dừng máy'!$A$6:$A$1005,$A10,'3 Nhật ký dừng máy'!$B$6:$B$1005,$B10,'3 Nhật ký dừng máy'!$C$6:$C$1005,$C10,'3 Nhật ký dừng máy'!$K$6:$K$1005,"Có kế hoạch"),"?"))</f>
        <v>420</v>
      </c>
      <c r="Q10" s="28">
        <f>IF($C10="","",SUMIFS('3 Nhật ký dừng máy'!$I$6:$I$1005,'3 Nhật ký dừng máy'!$A$6:$A$1005,$A10,'3 Nhật ký dừng máy'!$B$6:$B$1005,$B10,'3 Nhật ký dừng máy'!$C$6:$C$1005,$C10,'3 Nhật ký dừng máy'!$K$6:$K$1005,"Ngoài kế hoạch"))</f>
        <v>70</v>
      </c>
      <c r="R10" s="30">
        <f>IF($C10="","",COUNTIFS('3 Nhật ký dừng máy'!$A$6:$A$1005,$A10,'3 Nhật ký dừng máy'!$B$6:$B$1005,$B10,'3 Nhật ký dừng máy'!$C$6:$C$1005,$C10,'3 Nhật ký dừng máy'!$K$6:$K$1005,"Ngoài kế hoạch"))</f>
        <v>2</v>
      </c>
      <c r="S10" s="31">
        <f t="shared" si="4"/>
        <v>320</v>
      </c>
      <c r="T10" s="31">
        <f t="shared" si="5"/>
        <v>30</v>
      </c>
      <c r="U10" s="31">
        <f t="shared" si="6"/>
        <v>314</v>
      </c>
      <c r="V10" s="32">
        <f t="shared" si="7"/>
        <v>0.74761904761904763</v>
      </c>
      <c r="W10" s="30">
        <f t="shared" si="8"/>
        <v>1</v>
      </c>
      <c r="X10" s="33" t="str">
        <f t="shared" si="9"/>
        <v/>
      </c>
      <c r="Y10" s="34" t="str">
        <f t="shared" si="10"/>
        <v>46286|Ca 2|Máy tiện 1</v>
      </c>
    </row>
    <row r="11" spans="1:25" x14ac:dyDescent="0.2">
      <c r="A11" s="25">
        <v>46286</v>
      </c>
      <c r="B11" s="17" t="s">
        <v>73</v>
      </c>
      <c r="C11" s="13" t="s">
        <v>72</v>
      </c>
      <c r="D11" s="17" t="s">
        <v>107</v>
      </c>
      <c r="E11" s="17" t="s">
        <v>74</v>
      </c>
      <c r="F11" s="17" t="s">
        <v>150</v>
      </c>
      <c r="G11" s="26">
        <v>500</v>
      </c>
      <c r="H11" s="26">
        <v>500</v>
      </c>
      <c r="I11" s="26">
        <v>8</v>
      </c>
      <c r="J11" s="27">
        <v>46287.368055555547</v>
      </c>
      <c r="K11" s="18"/>
      <c r="L11" s="28">
        <f t="shared" si="0"/>
        <v>492</v>
      </c>
      <c r="M11" s="29">
        <f t="shared" si="1"/>
        <v>0.98399999999999999</v>
      </c>
      <c r="N11" s="29">
        <f t="shared" si="2"/>
        <v>1.6E-2</v>
      </c>
      <c r="O11" s="30">
        <f t="shared" si="3"/>
        <v>45</v>
      </c>
      <c r="P11" s="28">
        <f>IF($C11="","",IFERROR(INDEX(CA_TG,MATCH(B11,DS_CA,0))-INDEX(CA_NGHI,MATCH(B11,DS_CA,0))-SUMIFS('3 Nhật ký dừng máy'!$I$6:$I$1005,'3 Nhật ký dừng máy'!$A$6:$A$1005,$A11,'3 Nhật ký dừng máy'!$B$6:$B$1005,$B11,'3 Nhật ký dừng máy'!$C$6:$C$1005,$C11,'3 Nhật ký dừng máy'!$K$6:$K$1005,"Có kế hoạch"),"?"))</f>
        <v>420</v>
      </c>
      <c r="Q11" s="28">
        <f>IF($C11="","",SUMIFS('3 Nhật ký dừng máy'!$I$6:$I$1005,'3 Nhật ký dừng máy'!$A$6:$A$1005,$A11,'3 Nhật ký dừng máy'!$B$6:$B$1005,$B11,'3 Nhật ký dừng máy'!$C$6:$C$1005,$C11,'3 Nhật ký dừng máy'!$K$6:$K$1005,"Ngoài kế hoạch"))</f>
        <v>10</v>
      </c>
      <c r="R11" s="30">
        <f>IF($C11="","",COUNTIFS('3 Nhật ký dừng máy'!$A$6:$A$1005,$A11,'3 Nhật ký dừng máy'!$B$6:$B$1005,$B11,'3 Nhật ký dừng máy'!$C$6:$C$1005,$C11,'3 Nhật ký dừng máy'!$K$6:$K$1005,"Ngoài kế hoạch"))</f>
        <v>1</v>
      </c>
      <c r="S11" s="31">
        <f t="shared" si="4"/>
        <v>375</v>
      </c>
      <c r="T11" s="31">
        <f t="shared" si="5"/>
        <v>35</v>
      </c>
      <c r="U11" s="31">
        <f t="shared" si="6"/>
        <v>369</v>
      </c>
      <c r="V11" s="32">
        <f t="shared" si="7"/>
        <v>0.87857142857142856</v>
      </c>
      <c r="W11" s="30">
        <f t="shared" si="8"/>
        <v>1</v>
      </c>
      <c r="X11" s="33" t="str">
        <f t="shared" si="9"/>
        <v/>
      </c>
      <c r="Y11" s="34" t="str">
        <f t="shared" si="10"/>
        <v>46286|Ca 2|Máy tiện 2</v>
      </c>
    </row>
    <row r="12" spans="1:25" x14ac:dyDescent="0.2">
      <c r="A12" s="25">
        <v>46286</v>
      </c>
      <c r="B12" s="17" t="s">
        <v>73</v>
      </c>
      <c r="C12" s="13" t="s">
        <v>81</v>
      </c>
      <c r="D12" s="17" t="s">
        <v>111</v>
      </c>
      <c r="E12" s="17" t="s">
        <v>83</v>
      </c>
      <c r="F12" s="17" t="s">
        <v>151</v>
      </c>
      <c r="G12" s="26">
        <v>250</v>
      </c>
      <c r="H12" s="26">
        <v>203</v>
      </c>
      <c r="I12" s="26">
        <v>3</v>
      </c>
      <c r="J12" s="27">
        <v>46287.347222222219</v>
      </c>
      <c r="K12" s="18"/>
      <c r="L12" s="28">
        <f t="shared" si="0"/>
        <v>200</v>
      </c>
      <c r="M12" s="29">
        <f t="shared" si="1"/>
        <v>0.8</v>
      </c>
      <c r="N12" s="29">
        <f t="shared" si="2"/>
        <v>1.4778325123152709E-2</v>
      </c>
      <c r="O12" s="30">
        <f t="shared" si="3"/>
        <v>90</v>
      </c>
      <c r="P12" s="28">
        <f>IF($C12="","",IFERROR(INDEX(CA_TG,MATCH(B12,DS_CA,0))-INDEX(CA_NGHI,MATCH(B12,DS_CA,0))-SUMIFS('3 Nhật ký dừng máy'!$I$6:$I$1005,'3 Nhật ký dừng máy'!$A$6:$A$1005,$A12,'3 Nhật ký dừng máy'!$B$6:$B$1005,$B12,'3 Nhật ký dừng máy'!$C$6:$C$1005,$C12,'3 Nhật ký dừng máy'!$K$6:$K$1005,"Có kế hoạch"),"?"))</f>
        <v>420</v>
      </c>
      <c r="Q12" s="28">
        <f>IF($C12="","",SUMIFS('3 Nhật ký dừng máy'!$I$6:$I$1005,'3 Nhật ký dừng máy'!$A$6:$A$1005,$A12,'3 Nhật ký dừng máy'!$B$6:$B$1005,$B12,'3 Nhật ký dừng máy'!$C$6:$C$1005,$C12,'3 Nhật ký dừng máy'!$K$6:$K$1005,"Ngoài kế hoạch"))</f>
        <v>57</v>
      </c>
      <c r="R12" s="30">
        <f>IF($C12="","",COUNTIFS('3 Nhật ký dừng máy'!$A$6:$A$1005,$A12,'3 Nhật ký dừng máy'!$B$6:$B$1005,$B12,'3 Nhật ký dừng máy'!$C$6:$C$1005,$C12,'3 Nhật ký dừng máy'!$K$6:$K$1005,"Ngoài kế hoạch"))</f>
        <v>2</v>
      </c>
      <c r="S12" s="31">
        <f t="shared" si="4"/>
        <v>304.5</v>
      </c>
      <c r="T12" s="31">
        <f t="shared" si="5"/>
        <v>58.5</v>
      </c>
      <c r="U12" s="31">
        <f t="shared" si="6"/>
        <v>300</v>
      </c>
      <c r="V12" s="32">
        <f t="shared" si="7"/>
        <v>0.7142857142857143</v>
      </c>
      <c r="W12" s="30">
        <f t="shared" si="8"/>
        <v>1</v>
      </c>
      <c r="X12" s="33" t="str">
        <f t="shared" si="9"/>
        <v/>
      </c>
      <c r="Y12" s="34" t="str">
        <f t="shared" si="10"/>
        <v>46286|Ca 2|Máy phay 1</v>
      </c>
    </row>
    <row r="13" spans="1:25" x14ac:dyDescent="0.2">
      <c r="A13" s="25">
        <v>46286</v>
      </c>
      <c r="B13" s="17" t="s">
        <v>73</v>
      </c>
      <c r="C13" s="13" t="s">
        <v>90</v>
      </c>
      <c r="D13" s="17" t="s">
        <v>116</v>
      </c>
      <c r="E13" s="17" t="s">
        <v>92</v>
      </c>
      <c r="F13" s="17" t="s">
        <v>152</v>
      </c>
      <c r="G13" s="26">
        <v>1800</v>
      </c>
      <c r="H13" s="26">
        <v>1303</v>
      </c>
      <c r="I13" s="26">
        <v>13</v>
      </c>
      <c r="J13" s="27">
        <v>46287.347222222219</v>
      </c>
      <c r="K13" s="18"/>
      <c r="L13" s="28">
        <f t="shared" si="0"/>
        <v>1290</v>
      </c>
      <c r="M13" s="29">
        <f t="shared" si="1"/>
        <v>0.71666666666666667</v>
      </c>
      <c r="N13" s="29">
        <f t="shared" si="2"/>
        <v>9.9769762087490409E-3</v>
      </c>
      <c r="O13" s="30">
        <f t="shared" si="3"/>
        <v>12</v>
      </c>
      <c r="P13" s="28">
        <f>IF($C13="","",IFERROR(INDEX(CA_TG,MATCH(B13,DS_CA,0))-INDEX(CA_NGHI,MATCH(B13,DS_CA,0))-SUMIFS('3 Nhật ký dừng máy'!$I$6:$I$1005,'3 Nhật ký dừng máy'!$A$6:$A$1005,$A13,'3 Nhật ký dừng máy'!$B$6:$B$1005,$B13,'3 Nhật ký dừng máy'!$C$6:$C$1005,$C13,'3 Nhật ký dừng máy'!$K$6:$K$1005,"Có kế hoạch"),"?"))</f>
        <v>420</v>
      </c>
      <c r="Q13" s="28">
        <f>IF($C13="","",SUMIFS('3 Nhật ký dừng máy'!$I$6:$I$1005,'3 Nhật ký dừng máy'!$A$6:$A$1005,$A13,'3 Nhật ký dừng máy'!$B$6:$B$1005,$B13,'3 Nhật ký dừng máy'!$C$6:$C$1005,$C13,'3 Nhật ký dừng máy'!$K$6:$K$1005,"Ngoài kế hoạch"))</f>
        <v>85</v>
      </c>
      <c r="R13" s="30">
        <f>IF($C13="","",COUNTIFS('3 Nhật ký dừng máy'!$A$6:$A$1005,$A13,'3 Nhật ký dừng máy'!$B$6:$B$1005,$B13,'3 Nhật ký dừng máy'!$C$6:$C$1005,$C13,'3 Nhật ký dừng máy'!$K$6:$K$1005,"Ngoài kế hoạch"))</f>
        <v>2</v>
      </c>
      <c r="S13" s="31">
        <f t="shared" si="4"/>
        <v>260.60000000000002</v>
      </c>
      <c r="T13" s="31">
        <f t="shared" si="5"/>
        <v>74.399999999999977</v>
      </c>
      <c r="U13" s="31">
        <f t="shared" si="6"/>
        <v>258</v>
      </c>
      <c r="V13" s="32">
        <f t="shared" si="7"/>
        <v>0.61428571428571432</v>
      </c>
      <c r="W13" s="30">
        <f t="shared" si="8"/>
        <v>1</v>
      </c>
      <c r="X13" s="33" t="str">
        <f t="shared" si="9"/>
        <v/>
      </c>
      <c r="Y13" s="34" t="str">
        <f t="shared" si="10"/>
        <v>46286|Ca 2|Máy dập 1</v>
      </c>
    </row>
    <row r="14" spans="1:25" x14ac:dyDescent="0.2">
      <c r="A14" s="25">
        <v>46287</v>
      </c>
      <c r="B14" s="17" t="s">
        <v>63</v>
      </c>
      <c r="C14" s="13" t="s">
        <v>61</v>
      </c>
      <c r="D14" s="17" t="s">
        <v>70</v>
      </c>
      <c r="E14" s="17" t="s">
        <v>64</v>
      </c>
      <c r="F14" s="17" t="s">
        <v>149</v>
      </c>
      <c r="G14" s="26">
        <v>380</v>
      </c>
      <c r="H14" s="26">
        <v>352</v>
      </c>
      <c r="I14" s="26">
        <v>9</v>
      </c>
      <c r="J14" s="27">
        <v>46288.4375</v>
      </c>
      <c r="K14" s="18"/>
      <c r="L14" s="28">
        <f t="shared" si="0"/>
        <v>343</v>
      </c>
      <c r="M14" s="29">
        <f t="shared" si="1"/>
        <v>0.90263157894736845</v>
      </c>
      <c r="N14" s="29">
        <f t="shared" si="2"/>
        <v>2.556818181818182E-2</v>
      </c>
      <c r="O14" s="30">
        <f t="shared" si="3"/>
        <v>60</v>
      </c>
      <c r="P14" s="28">
        <f>IF($C14="","",IFERROR(INDEX(CA_TG,MATCH(B14,DS_CA,0))-INDEX(CA_NGHI,MATCH(B14,DS_CA,0))-SUMIFS('3 Nhật ký dừng máy'!$I$6:$I$1005,'3 Nhật ký dừng máy'!$A$6:$A$1005,$A14,'3 Nhật ký dừng máy'!$B$6:$B$1005,$B14,'3 Nhật ký dừng máy'!$C$6:$C$1005,$C14,'3 Nhật ký dừng máy'!$K$6:$K$1005,"Có kế hoạch"),"?"))</f>
        <v>420</v>
      </c>
      <c r="Q14" s="28">
        <f>IF($C14="","",SUMIFS('3 Nhật ký dừng máy'!$I$6:$I$1005,'3 Nhật ký dừng máy'!$A$6:$A$1005,$A14,'3 Nhật ký dừng máy'!$B$6:$B$1005,$B14,'3 Nhật ký dừng máy'!$C$6:$C$1005,$C14,'3 Nhật ký dừng máy'!$K$6:$K$1005,"Ngoài kế hoạch"))</f>
        <v>35</v>
      </c>
      <c r="R14" s="30">
        <f>IF($C14="","",COUNTIFS('3 Nhật ký dừng máy'!$A$6:$A$1005,$A14,'3 Nhật ký dừng máy'!$B$6:$B$1005,$B14,'3 Nhật ký dừng máy'!$C$6:$C$1005,$C14,'3 Nhật ký dừng máy'!$K$6:$K$1005,"Ngoài kế hoạch"))</f>
        <v>1</v>
      </c>
      <c r="S14" s="31">
        <f t="shared" si="4"/>
        <v>352</v>
      </c>
      <c r="T14" s="31">
        <f t="shared" si="5"/>
        <v>33</v>
      </c>
      <c r="U14" s="31">
        <f t="shared" si="6"/>
        <v>343</v>
      </c>
      <c r="V14" s="32">
        <f t="shared" si="7"/>
        <v>0.81666666666666665</v>
      </c>
      <c r="W14" s="30">
        <f t="shared" si="8"/>
        <v>1</v>
      </c>
      <c r="X14" s="33" t="str">
        <f t="shared" si="9"/>
        <v/>
      </c>
      <c r="Y14" s="34" t="str">
        <f t="shared" si="10"/>
        <v>46287|Ca 1|Máy tiện 1</v>
      </c>
    </row>
    <row r="15" spans="1:25" x14ac:dyDescent="0.2">
      <c r="A15" s="25">
        <v>46287</v>
      </c>
      <c r="B15" s="17" t="s">
        <v>63</v>
      </c>
      <c r="C15" s="13" t="s">
        <v>72</v>
      </c>
      <c r="D15" s="17" t="s">
        <v>78</v>
      </c>
      <c r="E15" s="17" t="s">
        <v>74</v>
      </c>
      <c r="F15" s="17" t="s">
        <v>150</v>
      </c>
      <c r="G15" s="26">
        <v>500</v>
      </c>
      <c r="H15" s="26">
        <v>372</v>
      </c>
      <c r="I15" s="26">
        <v>9</v>
      </c>
      <c r="J15" s="27">
        <v>46287.607638888891</v>
      </c>
      <c r="K15" s="18"/>
      <c r="L15" s="28">
        <f t="shared" si="0"/>
        <v>363</v>
      </c>
      <c r="M15" s="29">
        <f t="shared" si="1"/>
        <v>0.72599999999999998</v>
      </c>
      <c r="N15" s="29">
        <f t="shared" si="2"/>
        <v>2.4193548387096774E-2</v>
      </c>
      <c r="O15" s="30">
        <f t="shared" si="3"/>
        <v>45</v>
      </c>
      <c r="P15" s="28">
        <f>IF($C15="","",IFERROR(INDEX(CA_TG,MATCH(B15,DS_CA,0))-INDEX(CA_NGHI,MATCH(B15,DS_CA,0))-SUMIFS('3 Nhật ký dừng máy'!$I$6:$I$1005,'3 Nhật ký dừng máy'!$A$6:$A$1005,$A15,'3 Nhật ký dừng máy'!$B$6:$B$1005,$B15,'3 Nhật ký dừng máy'!$C$6:$C$1005,$C15,'3 Nhật ký dừng máy'!$K$6:$K$1005,"Có kế hoạch"),"?"))</f>
        <v>420</v>
      </c>
      <c r="Q15" s="28">
        <f>IF($C15="","",SUMIFS('3 Nhật ký dừng máy'!$I$6:$I$1005,'3 Nhật ký dừng máy'!$A$6:$A$1005,$A15,'3 Nhật ký dừng máy'!$B$6:$B$1005,$B15,'3 Nhật ký dừng máy'!$C$6:$C$1005,$C15,'3 Nhật ký dừng máy'!$K$6:$K$1005,"Ngoài kế hoạch"))</f>
        <v>118</v>
      </c>
      <c r="R15" s="30">
        <f>IF($C15="","",COUNTIFS('3 Nhật ký dừng máy'!$A$6:$A$1005,$A15,'3 Nhật ký dừng máy'!$B$6:$B$1005,$B15,'3 Nhật ký dừng máy'!$C$6:$C$1005,$C15,'3 Nhật ký dừng máy'!$K$6:$K$1005,"Ngoài kế hoạch"))</f>
        <v>3</v>
      </c>
      <c r="S15" s="31">
        <f t="shared" si="4"/>
        <v>279</v>
      </c>
      <c r="T15" s="31">
        <f t="shared" si="5"/>
        <v>23</v>
      </c>
      <c r="U15" s="31">
        <f t="shared" si="6"/>
        <v>272.25</v>
      </c>
      <c r="V15" s="32">
        <f t="shared" si="7"/>
        <v>0.64821428571428574</v>
      </c>
      <c r="W15" s="30">
        <f t="shared" si="8"/>
        <v>0</v>
      </c>
      <c r="X15" s="33" t="str">
        <f t="shared" si="9"/>
        <v/>
      </c>
      <c r="Y15" s="34" t="str">
        <f t="shared" si="10"/>
        <v>46287|Ca 1|Máy tiện 2</v>
      </c>
    </row>
    <row r="16" spans="1:25" x14ac:dyDescent="0.2">
      <c r="A16" s="25">
        <v>46287</v>
      </c>
      <c r="B16" s="17" t="s">
        <v>63</v>
      </c>
      <c r="C16" s="13" t="s">
        <v>81</v>
      </c>
      <c r="D16" s="17" t="s">
        <v>88</v>
      </c>
      <c r="E16" s="17" t="s">
        <v>83</v>
      </c>
      <c r="F16" s="17" t="s">
        <v>151</v>
      </c>
      <c r="G16" s="26">
        <v>250</v>
      </c>
      <c r="H16" s="26">
        <v>216</v>
      </c>
      <c r="I16" s="26">
        <v>3</v>
      </c>
      <c r="J16" s="27">
        <v>46288.385416666657</v>
      </c>
      <c r="K16" s="18"/>
      <c r="L16" s="28">
        <f t="shared" si="0"/>
        <v>213</v>
      </c>
      <c r="M16" s="29">
        <f t="shared" si="1"/>
        <v>0.85199999999999998</v>
      </c>
      <c r="N16" s="29">
        <f t="shared" si="2"/>
        <v>1.3888888888888888E-2</v>
      </c>
      <c r="O16" s="30">
        <f t="shared" si="3"/>
        <v>90</v>
      </c>
      <c r="P16" s="28">
        <f>IF($C16="","",IFERROR(INDEX(CA_TG,MATCH(B16,DS_CA,0))-INDEX(CA_NGHI,MATCH(B16,DS_CA,0))-SUMIFS('3 Nhật ký dừng máy'!$I$6:$I$1005,'3 Nhật ký dừng máy'!$A$6:$A$1005,$A16,'3 Nhật ký dừng máy'!$B$6:$B$1005,$B16,'3 Nhật ký dừng máy'!$C$6:$C$1005,$C16,'3 Nhật ký dừng máy'!$K$6:$K$1005,"Có kế hoạch"),"?"))</f>
        <v>420</v>
      </c>
      <c r="Q16" s="28">
        <f>IF($C16="","",SUMIFS('3 Nhật ký dừng máy'!$I$6:$I$1005,'3 Nhật ký dừng máy'!$A$6:$A$1005,$A16,'3 Nhật ký dừng máy'!$B$6:$B$1005,$B16,'3 Nhật ký dừng máy'!$C$6:$C$1005,$C16,'3 Nhật ký dừng máy'!$K$6:$K$1005,"Ngoài kế hoạch"))</f>
        <v>40</v>
      </c>
      <c r="R16" s="30">
        <f>IF($C16="","",COUNTIFS('3 Nhật ký dừng máy'!$A$6:$A$1005,$A16,'3 Nhật ký dừng máy'!$B$6:$B$1005,$B16,'3 Nhật ký dừng máy'!$C$6:$C$1005,$C16,'3 Nhật ký dừng máy'!$K$6:$K$1005,"Ngoài kế hoạch"))</f>
        <v>2</v>
      </c>
      <c r="S16" s="31">
        <f t="shared" si="4"/>
        <v>324</v>
      </c>
      <c r="T16" s="31">
        <f t="shared" si="5"/>
        <v>56</v>
      </c>
      <c r="U16" s="31">
        <f t="shared" si="6"/>
        <v>319.5</v>
      </c>
      <c r="V16" s="32">
        <f t="shared" si="7"/>
        <v>0.76071428571428568</v>
      </c>
      <c r="W16" s="30">
        <f t="shared" si="8"/>
        <v>1</v>
      </c>
      <c r="X16" s="33" t="str">
        <f t="shared" si="9"/>
        <v/>
      </c>
      <c r="Y16" s="34" t="str">
        <f t="shared" si="10"/>
        <v>46287|Ca 1|Máy phay 1</v>
      </c>
    </row>
    <row r="17" spans="1:25" x14ac:dyDescent="0.2">
      <c r="A17" s="25">
        <v>46287</v>
      </c>
      <c r="B17" s="17" t="s">
        <v>63</v>
      </c>
      <c r="C17" s="13" t="s">
        <v>90</v>
      </c>
      <c r="D17" s="17" t="s">
        <v>96</v>
      </c>
      <c r="E17" s="17" t="s">
        <v>92</v>
      </c>
      <c r="F17" s="17" t="s">
        <v>152</v>
      </c>
      <c r="G17" s="26">
        <v>1800</v>
      </c>
      <c r="H17" s="26">
        <v>1643</v>
      </c>
      <c r="I17" s="26">
        <v>13</v>
      </c>
      <c r="J17" s="27">
        <v>46288.336805555547</v>
      </c>
      <c r="K17" s="18"/>
      <c r="L17" s="28">
        <f t="shared" si="0"/>
        <v>1630</v>
      </c>
      <c r="M17" s="29">
        <f t="shared" si="1"/>
        <v>0.90555555555555556</v>
      </c>
      <c r="N17" s="29">
        <f t="shared" si="2"/>
        <v>7.9123554473524045E-3</v>
      </c>
      <c r="O17" s="30">
        <f t="shared" si="3"/>
        <v>12</v>
      </c>
      <c r="P17" s="28">
        <f>IF($C17="","",IFERROR(INDEX(CA_TG,MATCH(B17,DS_CA,0))-INDEX(CA_NGHI,MATCH(B17,DS_CA,0))-SUMIFS('3 Nhật ký dừng máy'!$I$6:$I$1005,'3 Nhật ký dừng máy'!$A$6:$A$1005,$A17,'3 Nhật ký dừng máy'!$B$6:$B$1005,$B17,'3 Nhật ký dừng máy'!$C$6:$C$1005,$C17,'3 Nhật ký dừng máy'!$K$6:$K$1005,"Có kế hoạch"),"?"))</f>
        <v>420</v>
      </c>
      <c r="Q17" s="28">
        <f>IF($C17="","",SUMIFS('3 Nhật ký dừng máy'!$I$6:$I$1005,'3 Nhật ký dừng máy'!$A$6:$A$1005,$A17,'3 Nhật ký dừng máy'!$B$6:$B$1005,$B17,'3 Nhật ký dừng máy'!$C$6:$C$1005,$C17,'3 Nhật ký dừng máy'!$K$6:$K$1005,"Ngoài kế hoạch"))</f>
        <v>8</v>
      </c>
      <c r="R17" s="30">
        <f>IF($C17="","",COUNTIFS('3 Nhật ký dừng máy'!$A$6:$A$1005,$A17,'3 Nhật ký dừng máy'!$B$6:$B$1005,$B17,'3 Nhật ký dừng máy'!$C$6:$C$1005,$C17,'3 Nhật ký dừng máy'!$K$6:$K$1005,"Ngoài kế hoạch"))</f>
        <v>1</v>
      </c>
      <c r="S17" s="31">
        <f t="shared" si="4"/>
        <v>328.6</v>
      </c>
      <c r="T17" s="31">
        <f t="shared" si="5"/>
        <v>83.399999999999977</v>
      </c>
      <c r="U17" s="31">
        <f t="shared" si="6"/>
        <v>326</v>
      </c>
      <c r="V17" s="32">
        <f t="shared" si="7"/>
        <v>0.77619047619047621</v>
      </c>
      <c r="W17" s="30">
        <f t="shared" si="8"/>
        <v>1</v>
      </c>
      <c r="X17" s="33" t="str">
        <f t="shared" si="9"/>
        <v/>
      </c>
      <c r="Y17" s="34" t="str">
        <f t="shared" si="10"/>
        <v>46287|Ca 1|Máy dập 1</v>
      </c>
    </row>
    <row r="18" spans="1:25" x14ac:dyDescent="0.2">
      <c r="A18" s="25">
        <v>46287</v>
      </c>
      <c r="B18" s="17" t="s">
        <v>73</v>
      </c>
      <c r="C18" s="13" t="s">
        <v>61</v>
      </c>
      <c r="D18" s="17" t="s">
        <v>103</v>
      </c>
      <c r="E18" s="17" t="s">
        <v>64</v>
      </c>
      <c r="F18" s="17" t="s">
        <v>149</v>
      </c>
      <c r="G18" s="26">
        <v>380</v>
      </c>
      <c r="H18" s="26">
        <v>391</v>
      </c>
      <c r="I18" s="26">
        <v>10</v>
      </c>
      <c r="J18" s="27">
        <v>46288.385416666657</v>
      </c>
      <c r="K18" s="18"/>
      <c r="L18" s="28">
        <f t="shared" si="0"/>
        <v>381</v>
      </c>
      <c r="M18" s="29">
        <f t="shared" si="1"/>
        <v>1.0026315789473683</v>
      </c>
      <c r="N18" s="29">
        <f t="shared" si="2"/>
        <v>2.557544757033248E-2</v>
      </c>
      <c r="O18" s="30">
        <f t="shared" si="3"/>
        <v>60</v>
      </c>
      <c r="P18" s="28">
        <f>IF($C18="","",IFERROR(INDEX(CA_TG,MATCH(B18,DS_CA,0))-INDEX(CA_NGHI,MATCH(B18,DS_CA,0))-SUMIFS('3 Nhật ký dừng máy'!$I$6:$I$1005,'3 Nhật ký dừng máy'!$A$6:$A$1005,$A18,'3 Nhật ký dừng máy'!$B$6:$B$1005,$B18,'3 Nhật ký dừng máy'!$C$6:$C$1005,$C18,'3 Nhật ký dừng máy'!$K$6:$K$1005,"Có kế hoạch"),"?"))</f>
        <v>420</v>
      </c>
      <c r="Q18" s="28">
        <f>IF($C18="","",SUMIFS('3 Nhật ký dừng máy'!$I$6:$I$1005,'3 Nhật ký dừng máy'!$A$6:$A$1005,$A18,'3 Nhật ký dừng máy'!$B$6:$B$1005,$B18,'3 Nhật ký dừng máy'!$C$6:$C$1005,$C18,'3 Nhật ký dừng máy'!$K$6:$K$1005,"Ngoài kế hoạch"))</f>
        <v>0</v>
      </c>
      <c r="R18" s="30">
        <f>IF($C18="","",COUNTIFS('3 Nhật ký dừng máy'!$A$6:$A$1005,$A18,'3 Nhật ký dừng máy'!$B$6:$B$1005,$B18,'3 Nhật ký dừng máy'!$C$6:$C$1005,$C18,'3 Nhật ký dừng máy'!$K$6:$K$1005,"Ngoài kế hoạch"))</f>
        <v>0</v>
      </c>
      <c r="S18" s="31">
        <f t="shared" si="4"/>
        <v>391</v>
      </c>
      <c r="T18" s="31">
        <f t="shared" si="5"/>
        <v>29</v>
      </c>
      <c r="U18" s="31">
        <f t="shared" si="6"/>
        <v>381</v>
      </c>
      <c r="V18" s="32">
        <f t="shared" si="7"/>
        <v>0.90714285714285714</v>
      </c>
      <c r="W18" s="30">
        <f t="shared" si="8"/>
        <v>1</v>
      </c>
      <c r="X18" s="33" t="str">
        <f t="shared" si="9"/>
        <v>Không ghi lần dừng nào</v>
      </c>
      <c r="Y18" s="34" t="str">
        <f t="shared" si="10"/>
        <v>46287|Ca 2|Máy tiện 1</v>
      </c>
    </row>
    <row r="19" spans="1:25" x14ac:dyDescent="0.2">
      <c r="A19" s="25">
        <v>46287</v>
      </c>
      <c r="B19" s="17" t="s">
        <v>73</v>
      </c>
      <c r="C19" s="13" t="s">
        <v>72</v>
      </c>
      <c r="D19" s="17" t="s">
        <v>107</v>
      </c>
      <c r="E19" s="17" t="s">
        <v>74</v>
      </c>
      <c r="F19" s="17" t="s">
        <v>150</v>
      </c>
      <c r="G19" s="26">
        <v>500</v>
      </c>
      <c r="H19" s="26">
        <v>469</v>
      </c>
      <c r="I19" s="26">
        <v>10</v>
      </c>
      <c r="J19" s="27">
        <v>46288.385416666657</v>
      </c>
      <c r="K19" s="18"/>
      <c r="L19" s="28">
        <f t="shared" si="0"/>
        <v>459</v>
      </c>
      <c r="M19" s="29">
        <f t="shared" si="1"/>
        <v>0.91800000000000004</v>
      </c>
      <c r="N19" s="29">
        <f t="shared" si="2"/>
        <v>2.1321961620469083E-2</v>
      </c>
      <c r="O19" s="30">
        <f t="shared" si="3"/>
        <v>45</v>
      </c>
      <c r="P19" s="28">
        <f>IF($C19="","",IFERROR(INDEX(CA_TG,MATCH(B19,DS_CA,0))-INDEX(CA_NGHI,MATCH(B19,DS_CA,0))-SUMIFS('3 Nhật ký dừng máy'!$I$6:$I$1005,'3 Nhật ký dừng máy'!$A$6:$A$1005,$A19,'3 Nhật ký dừng máy'!$B$6:$B$1005,$B19,'3 Nhật ký dừng máy'!$C$6:$C$1005,$C19,'3 Nhật ký dừng máy'!$K$6:$K$1005,"Có kế hoạch"),"?"))</f>
        <v>420</v>
      </c>
      <c r="Q19" s="28">
        <f>IF($C19="","",SUMIFS('3 Nhật ký dừng máy'!$I$6:$I$1005,'3 Nhật ký dừng máy'!$A$6:$A$1005,$A19,'3 Nhật ký dừng máy'!$B$6:$B$1005,$B19,'3 Nhật ký dừng máy'!$C$6:$C$1005,$C19,'3 Nhật ký dừng máy'!$K$6:$K$1005,"Ngoài kế hoạch"))</f>
        <v>40</v>
      </c>
      <c r="R19" s="30">
        <f>IF($C19="","",COUNTIFS('3 Nhật ký dừng máy'!$A$6:$A$1005,$A19,'3 Nhật ký dừng máy'!$B$6:$B$1005,$B19,'3 Nhật ký dừng máy'!$C$6:$C$1005,$C19,'3 Nhật ký dừng máy'!$K$6:$K$1005,"Ngoài kế hoạch"))</f>
        <v>1</v>
      </c>
      <c r="S19" s="31">
        <f t="shared" si="4"/>
        <v>351.75</v>
      </c>
      <c r="T19" s="31">
        <f t="shared" si="5"/>
        <v>28.25</v>
      </c>
      <c r="U19" s="31">
        <f t="shared" si="6"/>
        <v>344.25</v>
      </c>
      <c r="V19" s="32">
        <f t="shared" si="7"/>
        <v>0.81964285714285712</v>
      </c>
      <c r="W19" s="30">
        <f t="shared" si="8"/>
        <v>1</v>
      </c>
      <c r="X19" s="33" t="str">
        <f t="shared" si="9"/>
        <v/>
      </c>
      <c r="Y19" s="34" t="str">
        <f t="shared" si="10"/>
        <v>46287|Ca 2|Máy tiện 2</v>
      </c>
    </row>
    <row r="20" spans="1:25" x14ac:dyDescent="0.2">
      <c r="A20" s="25">
        <v>46287</v>
      </c>
      <c r="B20" s="17" t="s">
        <v>73</v>
      </c>
      <c r="C20" s="13" t="s">
        <v>81</v>
      </c>
      <c r="D20" s="17" t="s">
        <v>111</v>
      </c>
      <c r="E20" s="17" t="s">
        <v>83</v>
      </c>
      <c r="F20" s="17" t="s">
        <v>151</v>
      </c>
      <c r="G20" s="26">
        <v>250</v>
      </c>
      <c r="H20" s="26">
        <v>181</v>
      </c>
      <c r="I20" s="26">
        <v>4</v>
      </c>
      <c r="J20" s="27">
        <v>46288.347222222219</v>
      </c>
      <c r="K20" s="18"/>
      <c r="L20" s="28">
        <f t="shared" si="0"/>
        <v>177</v>
      </c>
      <c r="M20" s="29">
        <f t="shared" si="1"/>
        <v>0.70799999999999996</v>
      </c>
      <c r="N20" s="29">
        <f t="shared" si="2"/>
        <v>2.2099447513812154E-2</v>
      </c>
      <c r="O20" s="30">
        <f t="shared" si="3"/>
        <v>90</v>
      </c>
      <c r="P20" s="28">
        <f>IF($C20="","",IFERROR(INDEX(CA_TG,MATCH(B20,DS_CA,0))-INDEX(CA_NGHI,MATCH(B20,DS_CA,0))-SUMIFS('3 Nhật ký dừng máy'!$I$6:$I$1005,'3 Nhật ký dừng máy'!$A$6:$A$1005,$A20,'3 Nhật ký dừng máy'!$B$6:$B$1005,$B20,'3 Nhật ký dừng máy'!$C$6:$C$1005,$C20,'3 Nhật ký dừng máy'!$K$6:$K$1005,"Có kế hoạch"),"?"))</f>
        <v>420</v>
      </c>
      <c r="Q20" s="28">
        <f>IF($C20="","",SUMIFS('3 Nhật ký dừng máy'!$I$6:$I$1005,'3 Nhật ký dừng máy'!$A$6:$A$1005,$A20,'3 Nhật ký dừng máy'!$B$6:$B$1005,$B20,'3 Nhật ký dừng máy'!$C$6:$C$1005,$C20,'3 Nhật ký dừng máy'!$K$6:$K$1005,"Ngoài kế hoạch"))</f>
        <v>95</v>
      </c>
      <c r="R20" s="30">
        <f>IF($C20="","",COUNTIFS('3 Nhật ký dừng máy'!$A$6:$A$1005,$A20,'3 Nhật ký dừng máy'!$B$6:$B$1005,$B20,'3 Nhật ký dừng máy'!$C$6:$C$1005,$C20,'3 Nhật ký dừng máy'!$K$6:$K$1005,"Ngoài kế hoạch"))</f>
        <v>2</v>
      </c>
      <c r="S20" s="31">
        <f t="shared" si="4"/>
        <v>271.5</v>
      </c>
      <c r="T20" s="31">
        <f t="shared" si="5"/>
        <v>53.5</v>
      </c>
      <c r="U20" s="31">
        <f t="shared" si="6"/>
        <v>265.5</v>
      </c>
      <c r="V20" s="32">
        <f t="shared" si="7"/>
        <v>0.63214285714285712</v>
      </c>
      <c r="W20" s="30">
        <f t="shared" si="8"/>
        <v>1</v>
      </c>
      <c r="X20" s="33" t="str">
        <f t="shared" si="9"/>
        <v/>
      </c>
      <c r="Y20" s="34" t="str">
        <f t="shared" si="10"/>
        <v>46287|Ca 2|Máy phay 1</v>
      </c>
    </row>
    <row r="21" spans="1:25" x14ac:dyDescent="0.2">
      <c r="A21" s="25">
        <v>46287</v>
      </c>
      <c r="B21" s="17" t="s">
        <v>73</v>
      </c>
      <c r="C21" s="13" t="s">
        <v>90</v>
      </c>
      <c r="D21" s="17" t="s">
        <v>116</v>
      </c>
      <c r="E21" s="17" t="s">
        <v>92</v>
      </c>
      <c r="F21" s="17" t="s">
        <v>152</v>
      </c>
      <c r="G21" s="26">
        <v>1800</v>
      </c>
      <c r="H21" s="26">
        <v>1380</v>
      </c>
      <c r="I21" s="26">
        <v>18</v>
      </c>
      <c r="J21" s="27">
        <v>46288.347222222219</v>
      </c>
      <c r="K21" s="18"/>
      <c r="L21" s="28">
        <f t="shared" si="0"/>
        <v>1362</v>
      </c>
      <c r="M21" s="29">
        <f t="shared" si="1"/>
        <v>0.75666666666666671</v>
      </c>
      <c r="N21" s="29">
        <f t="shared" si="2"/>
        <v>1.3043478260869565E-2</v>
      </c>
      <c r="O21" s="30">
        <f t="shared" si="3"/>
        <v>12</v>
      </c>
      <c r="P21" s="28">
        <f>IF($C21="","",IFERROR(INDEX(CA_TG,MATCH(B21,DS_CA,0))-INDEX(CA_NGHI,MATCH(B21,DS_CA,0))-SUMIFS('3 Nhật ký dừng máy'!$I$6:$I$1005,'3 Nhật ký dừng máy'!$A$6:$A$1005,$A21,'3 Nhật ký dừng máy'!$B$6:$B$1005,$B21,'3 Nhật ký dừng máy'!$C$6:$C$1005,$C21,'3 Nhật ký dừng máy'!$K$6:$K$1005,"Có kế hoạch"),"?"))</f>
        <v>420</v>
      </c>
      <c r="Q21" s="28">
        <f>IF($C21="","",SUMIFS('3 Nhật ký dừng máy'!$I$6:$I$1005,'3 Nhật ký dừng máy'!$A$6:$A$1005,$A21,'3 Nhật ký dừng máy'!$B$6:$B$1005,$B21,'3 Nhật ký dừng máy'!$C$6:$C$1005,$C21,'3 Nhật ký dừng máy'!$K$6:$K$1005,"Ngoài kế hoạch"))</f>
        <v>55</v>
      </c>
      <c r="R21" s="30">
        <f>IF($C21="","",COUNTIFS('3 Nhật ký dừng máy'!$A$6:$A$1005,$A21,'3 Nhật ký dừng máy'!$B$6:$B$1005,$B21,'3 Nhật ký dừng máy'!$C$6:$C$1005,$C21,'3 Nhật ký dừng máy'!$K$6:$K$1005,"Ngoài kế hoạch"))</f>
        <v>2</v>
      </c>
      <c r="S21" s="31">
        <f t="shared" si="4"/>
        <v>276</v>
      </c>
      <c r="T21" s="31">
        <f t="shared" si="5"/>
        <v>89</v>
      </c>
      <c r="U21" s="31">
        <f t="shared" si="6"/>
        <v>272.39999999999998</v>
      </c>
      <c r="V21" s="32">
        <f t="shared" si="7"/>
        <v>0.64857142857142847</v>
      </c>
      <c r="W21" s="30">
        <f t="shared" si="8"/>
        <v>1</v>
      </c>
      <c r="X21" s="33" t="str">
        <f t="shared" si="9"/>
        <v/>
      </c>
      <c r="Y21" s="34" t="str">
        <f t="shared" si="10"/>
        <v>46287|Ca 2|Máy dập 1</v>
      </c>
    </row>
    <row r="22" spans="1:25" x14ac:dyDescent="0.2">
      <c r="A22" s="25">
        <v>46288</v>
      </c>
      <c r="B22" s="17" t="s">
        <v>63</v>
      </c>
      <c r="C22" s="13" t="s">
        <v>61</v>
      </c>
      <c r="D22" s="17" t="s">
        <v>70</v>
      </c>
      <c r="E22" s="17" t="s">
        <v>64</v>
      </c>
      <c r="F22" s="17" t="s">
        <v>149</v>
      </c>
      <c r="G22" s="26">
        <v>380</v>
      </c>
      <c r="H22" s="26">
        <v>348</v>
      </c>
      <c r="I22" s="26">
        <v>5</v>
      </c>
      <c r="J22" s="27">
        <v>46289.368055555547</v>
      </c>
      <c r="K22" s="18"/>
      <c r="L22" s="28">
        <f t="shared" si="0"/>
        <v>343</v>
      </c>
      <c r="M22" s="29">
        <f t="shared" si="1"/>
        <v>0.90263157894736845</v>
      </c>
      <c r="N22" s="29">
        <f t="shared" si="2"/>
        <v>1.4367816091954023E-2</v>
      </c>
      <c r="O22" s="30">
        <f t="shared" si="3"/>
        <v>60</v>
      </c>
      <c r="P22" s="28">
        <f>IF($C22="","",IFERROR(INDEX(CA_TG,MATCH(B22,DS_CA,0))-INDEX(CA_NGHI,MATCH(B22,DS_CA,0))-SUMIFS('3 Nhật ký dừng máy'!$I$6:$I$1005,'3 Nhật ký dừng máy'!$A$6:$A$1005,$A22,'3 Nhật ký dừng máy'!$B$6:$B$1005,$B22,'3 Nhật ký dừng máy'!$C$6:$C$1005,$C22,'3 Nhật ký dừng máy'!$K$6:$K$1005,"Có kế hoạch"),"?"))</f>
        <v>420</v>
      </c>
      <c r="Q22" s="28">
        <f>IF($C22="","",SUMIFS('3 Nhật ký dừng máy'!$I$6:$I$1005,'3 Nhật ký dừng máy'!$A$6:$A$1005,$A22,'3 Nhật ký dừng máy'!$B$6:$B$1005,$B22,'3 Nhật ký dừng máy'!$C$6:$C$1005,$C22,'3 Nhật ký dừng máy'!$K$6:$K$1005,"Ngoài kế hoạch"))</f>
        <v>33</v>
      </c>
      <c r="R22" s="30">
        <f>IF($C22="","",COUNTIFS('3 Nhật ký dừng máy'!$A$6:$A$1005,$A22,'3 Nhật ký dừng máy'!$B$6:$B$1005,$B22,'3 Nhật ký dừng máy'!$C$6:$C$1005,$C22,'3 Nhật ký dừng máy'!$K$6:$K$1005,"Ngoài kế hoạch"))</f>
        <v>2</v>
      </c>
      <c r="S22" s="31">
        <f t="shared" si="4"/>
        <v>348</v>
      </c>
      <c r="T22" s="31">
        <f t="shared" si="5"/>
        <v>39</v>
      </c>
      <c r="U22" s="31">
        <f t="shared" si="6"/>
        <v>343</v>
      </c>
      <c r="V22" s="32">
        <f t="shared" si="7"/>
        <v>0.81666666666666665</v>
      </c>
      <c r="W22" s="30">
        <f t="shared" si="8"/>
        <v>1</v>
      </c>
      <c r="X22" s="33" t="str">
        <f t="shared" si="9"/>
        <v/>
      </c>
      <c r="Y22" s="34" t="str">
        <f t="shared" si="10"/>
        <v>46288|Ca 1|Máy tiện 1</v>
      </c>
    </row>
    <row r="23" spans="1:25" x14ac:dyDescent="0.2">
      <c r="A23" s="25">
        <v>46288</v>
      </c>
      <c r="B23" s="17" t="s">
        <v>63</v>
      </c>
      <c r="C23" s="13" t="s">
        <v>72</v>
      </c>
      <c r="D23" s="17" t="s">
        <v>78</v>
      </c>
      <c r="E23" s="17" t="s">
        <v>74</v>
      </c>
      <c r="F23" s="17" t="s">
        <v>150</v>
      </c>
      <c r="G23" s="26">
        <v>500</v>
      </c>
      <c r="H23" s="26">
        <v>436</v>
      </c>
      <c r="I23" s="26">
        <v>6</v>
      </c>
      <c r="J23" s="27">
        <v>46289.336805555547</v>
      </c>
      <c r="K23" s="18"/>
      <c r="L23" s="28">
        <f t="shared" si="0"/>
        <v>430</v>
      </c>
      <c r="M23" s="29">
        <f t="shared" si="1"/>
        <v>0.86</v>
      </c>
      <c r="N23" s="29">
        <f t="shared" si="2"/>
        <v>1.3761467889908258E-2</v>
      </c>
      <c r="O23" s="30">
        <f t="shared" si="3"/>
        <v>45</v>
      </c>
      <c r="P23" s="28">
        <f>IF($C23="","",IFERROR(INDEX(CA_TG,MATCH(B23,DS_CA,0))-INDEX(CA_NGHI,MATCH(B23,DS_CA,0))-SUMIFS('3 Nhật ký dừng máy'!$I$6:$I$1005,'3 Nhật ký dừng máy'!$A$6:$A$1005,$A23,'3 Nhật ký dừng máy'!$B$6:$B$1005,$B23,'3 Nhật ký dừng máy'!$C$6:$C$1005,$C23,'3 Nhật ký dừng máy'!$K$6:$K$1005,"Có kế hoạch"),"?"))</f>
        <v>420</v>
      </c>
      <c r="Q23" s="28">
        <f>IF($C23="","",SUMIFS('3 Nhật ký dừng máy'!$I$6:$I$1005,'3 Nhật ký dừng máy'!$A$6:$A$1005,$A23,'3 Nhật ký dừng máy'!$B$6:$B$1005,$B23,'3 Nhật ký dừng máy'!$C$6:$C$1005,$C23,'3 Nhật ký dừng máy'!$K$6:$K$1005,"Ngoài kế hoạch"))</f>
        <v>50</v>
      </c>
      <c r="R23" s="30">
        <f>IF($C23="","",COUNTIFS('3 Nhật ký dừng máy'!$A$6:$A$1005,$A23,'3 Nhật ký dừng máy'!$B$6:$B$1005,$B23,'3 Nhật ký dừng máy'!$C$6:$C$1005,$C23,'3 Nhật ký dừng máy'!$K$6:$K$1005,"Ngoài kế hoạch"))</f>
        <v>2</v>
      </c>
      <c r="S23" s="31">
        <f t="shared" si="4"/>
        <v>327</v>
      </c>
      <c r="T23" s="31">
        <f t="shared" si="5"/>
        <v>43</v>
      </c>
      <c r="U23" s="31">
        <f t="shared" si="6"/>
        <v>322.5</v>
      </c>
      <c r="V23" s="32">
        <f t="shared" si="7"/>
        <v>0.7678571428571429</v>
      </c>
      <c r="W23" s="30">
        <f t="shared" si="8"/>
        <v>1</v>
      </c>
      <c r="X23" s="33" t="str">
        <f t="shared" si="9"/>
        <v/>
      </c>
      <c r="Y23" s="34" t="str">
        <f t="shared" si="10"/>
        <v>46288|Ca 1|Máy tiện 2</v>
      </c>
    </row>
    <row r="24" spans="1:25" x14ac:dyDescent="0.2">
      <c r="A24" s="25">
        <v>46288</v>
      </c>
      <c r="B24" s="17" t="s">
        <v>63</v>
      </c>
      <c r="C24" s="13" t="s">
        <v>81</v>
      </c>
      <c r="D24" s="17" t="s">
        <v>88</v>
      </c>
      <c r="E24" s="17" t="s">
        <v>83</v>
      </c>
      <c r="F24" s="17" t="s">
        <v>151</v>
      </c>
      <c r="G24" s="26">
        <v>210</v>
      </c>
      <c r="H24" s="26">
        <v>198</v>
      </c>
      <c r="I24" s="26">
        <v>2</v>
      </c>
      <c r="J24" s="27">
        <v>46289.336805555547</v>
      </c>
      <c r="K24" s="18"/>
      <c r="L24" s="28">
        <f t="shared" si="0"/>
        <v>196</v>
      </c>
      <c r="M24" s="29">
        <f t="shared" si="1"/>
        <v>0.93333333333333335</v>
      </c>
      <c r="N24" s="29">
        <f t="shared" si="2"/>
        <v>1.0101010101010102E-2</v>
      </c>
      <c r="O24" s="30">
        <f t="shared" si="3"/>
        <v>90</v>
      </c>
      <c r="P24" s="28">
        <f>IF($C24="","",IFERROR(INDEX(CA_TG,MATCH(B24,DS_CA,0))-INDEX(CA_NGHI,MATCH(B24,DS_CA,0))-SUMIFS('3 Nhật ký dừng máy'!$I$6:$I$1005,'3 Nhật ký dừng máy'!$A$6:$A$1005,$A24,'3 Nhật ký dừng máy'!$B$6:$B$1005,$B24,'3 Nhật ký dừng máy'!$C$6:$C$1005,$C24,'3 Nhật ký dừng máy'!$K$6:$K$1005,"Có kế hoạch"),"?"))</f>
        <v>360</v>
      </c>
      <c r="Q24" s="28">
        <f>IF($C24="","",SUMIFS('3 Nhật ký dừng máy'!$I$6:$I$1005,'3 Nhật ký dừng máy'!$A$6:$A$1005,$A24,'3 Nhật ký dừng máy'!$B$6:$B$1005,$B24,'3 Nhật ký dừng máy'!$C$6:$C$1005,$C24,'3 Nhật ký dừng máy'!$K$6:$K$1005,"Ngoài kế hoạch"))</f>
        <v>20</v>
      </c>
      <c r="R24" s="30">
        <f>IF($C24="","",COUNTIFS('3 Nhật ký dừng máy'!$A$6:$A$1005,$A24,'3 Nhật ký dừng máy'!$B$6:$B$1005,$B24,'3 Nhật ký dừng máy'!$C$6:$C$1005,$C24,'3 Nhật ký dừng máy'!$K$6:$K$1005,"Ngoài kế hoạch"))</f>
        <v>1</v>
      </c>
      <c r="S24" s="31">
        <f t="shared" si="4"/>
        <v>297</v>
      </c>
      <c r="T24" s="31">
        <f t="shared" si="5"/>
        <v>43</v>
      </c>
      <c r="U24" s="31">
        <f t="shared" si="6"/>
        <v>294</v>
      </c>
      <c r="V24" s="32">
        <f t="shared" si="7"/>
        <v>0.81666666666666665</v>
      </c>
      <c r="W24" s="30">
        <f t="shared" si="8"/>
        <v>1</v>
      </c>
      <c r="X24" s="33" t="str">
        <f t="shared" si="9"/>
        <v/>
      </c>
      <c r="Y24" s="34" t="str">
        <f t="shared" si="10"/>
        <v>46288|Ca 1|Máy phay 1</v>
      </c>
    </row>
    <row r="25" spans="1:25" x14ac:dyDescent="0.2">
      <c r="A25" s="25">
        <v>46288</v>
      </c>
      <c r="B25" s="17" t="s">
        <v>63</v>
      </c>
      <c r="C25" s="13" t="s">
        <v>90</v>
      </c>
      <c r="D25" s="17" t="s">
        <v>96</v>
      </c>
      <c r="E25" s="17" t="s">
        <v>92</v>
      </c>
      <c r="F25" s="17" t="s">
        <v>152</v>
      </c>
      <c r="G25" s="26">
        <v>1800</v>
      </c>
      <c r="H25" s="26">
        <v>1582</v>
      </c>
      <c r="I25" s="26">
        <v>17</v>
      </c>
      <c r="J25" s="27">
        <v>46289.347222222219</v>
      </c>
      <c r="K25" s="18"/>
      <c r="L25" s="28">
        <f t="shared" si="0"/>
        <v>1565</v>
      </c>
      <c r="M25" s="29">
        <f t="shared" si="1"/>
        <v>0.86944444444444446</v>
      </c>
      <c r="N25" s="29">
        <f t="shared" si="2"/>
        <v>1.0745891276864728E-2</v>
      </c>
      <c r="O25" s="30">
        <f t="shared" si="3"/>
        <v>12</v>
      </c>
      <c r="P25" s="28">
        <f>IF($C25="","",IFERROR(INDEX(CA_TG,MATCH(B25,DS_CA,0))-INDEX(CA_NGHI,MATCH(B25,DS_CA,0))-SUMIFS('3 Nhật ký dừng máy'!$I$6:$I$1005,'3 Nhật ký dừng máy'!$A$6:$A$1005,$A25,'3 Nhật ký dừng máy'!$B$6:$B$1005,$B25,'3 Nhật ký dừng máy'!$C$6:$C$1005,$C25,'3 Nhật ký dừng máy'!$K$6:$K$1005,"Có kế hoạch"),"?"))</f>
        <v>420</v>
      </c>
      <c r="Q25" s="28">
        <f>IF($C25="","",SUMIFS('3 Nhật ký dừng máy'!$I$6:$I$1005,'3 Nhật ký dừng máy'!$A$6:$A$1005,$A25,'3 Nhật ký dừng máy'!$B$6:$B$1005,$B25,'3 Nhật ký dừng máy'!$C$6:$C$1005,$C25,'3 Nhật ký dừng máy'!$K$6:$K$1005,"Ngoài kế hoạch"))</f>
        <v>20</v>
      </c>
      <c r="R25" s="30">
        <f>IF($C25="","",COUNTIFS('3 Nhật ký dừng máy'!$A$6:$A$1005,$A25,'3 Nhật ký dừng máy'!$B$6:$B$1005,$B25,'3 Nhật ký dừng máy'!$C$6:$C$1005,$C25,'3 Nhật ký dừng máy'!$K$6:$K$1005,"Ngoài kế hoạch"))</f>
        <v>1</v>
      </c>
      <c r="S25" s="31">
        <f t="shared" si="4"/>
        <v>316.39999999999998</v>
      </c>
      <c r="T25" s="31">
        <f t="shared" si="5"/>
        <v>83.600000000000023</v>
      </c>
      <c r="U25" s="31">
        <f t="shared" si="6"/>
        <v>313</v>
      </c>
      <c r="V25" s="32">
        <f t="shared" si="7"/>
        <v>0.74523809523809526</v>
      </c>
      <c r="W25" s="30">
        <f t="shared" si="8"/>
        <v>1</v>
      </c>
      <c r="X25" s="33" t="str">
        <f t="shared" si="9"/>
        <v/>
      </c>
      <c r="Y25" s="34" t="str">
        <f t="shared" si="10"/>
        <v>46288|Ca 1|Máy dập 1</v>
      </c>
    </row>
    <row r="26" spans="1:25" x14ac:dyDescent="0.2">
      <c r="A26" s="25">
        <v>46288</v>
      </c>
      <c r="B26" s="17" t="s">
        <v>73</v>
      </c>
      <c r="C26" s="13" t="s">
        <v>61</v>
      </c>
      <c r="D26" s="17" t="s">
        <v>103</v>
      </c>
      <c r="E26" s="17" t="s">
        <v>64</v>
      </c>
      <c r="F26" s="17" t="s">
        <v>149</v>
      </c>
      <c r="G26" s="26">
        <v>380</v>
      </c>
      <c r="H26" s="26">
        <v>346</v>
      </c>
      <c r="I26" s="26">
        <v>9</v>
      </c>
      <c r="J26" s="27">
        <v>46289.4375</v>
      </c>
      <c r="K26" s="18"/>
      <c r="L26" s="28">
        <f t="shared" si="0"/>
        <v>337</v>
      </c>
      <c r="M26" s="29">
        <f t="shared" si="1"/>
        <v>0.88684210526315788</v>
      </c>
      <c r="N26" s="29">
        <f t="shared" si="2"/>
        <v>2.6011560693641619E-2</v>
      </c>
      <c r="O26" s="30">
        <f t="shared" si="3"/>
        <v>60</v>
      </c>
      <c r="P26" s="28">
        <f>IF($C26="","",IFERROR(INDEX(CA_TG,MATCH(B26,DS_CA,0))-INDEX(CA_NGHI,MATCH(B26,DS_CA,0))-SUMIFS('3 Nhật ký dừng máy'!$I$6:$I$1005,'3 Nhật ký dừng máy'!$A$6:$A$1005,$A26,'3 Nhật ký dừng máy'!$B$6:$B$1005,$B26,'3 Nhật ký dừng máy'!$C$6:$C$1005,$C26,'3 Nhật ký dừng máy'!$K$6:$K$1005,"Có kế hoạch"),"?"))</f>
        <v>420</v>
      </c>
      <c r="Q26" s="28">
        <f>IF($C26="","",SUMIFS('3 Nhật ký dừng máy'!$I$6:$I$1005,'3 Nhật ký dừng máy'!$A$6:$A$1005,$A26,'3 Nhật ký dừng máy'!$B$6:$B$1005,$B26,'3 Nhật ký dừng máy'!$C$6:$C$1005,$C26,'3 Nhật ký dừng máy'!$K$6:$K$1005,"Ngoài kế hoạch"))</f>
        <v>27</v>
      </c>
      <c r="R26" s="30">
        <f>IF($C26="","",COUNTIFS('3 Nhật ký dừng máy'!$A$6:$A$1005,$A26,'3 Nhật ký dừng máy'!$B$6:$B$1005,$B26,'3 Nhật ký dừng máy'!$C$6:$C$1005,$C26,'3 Nhật ký dừng máy'!$K$6:$K$1005,"Ngoài kế hoạch"))</f>
        <v>2</v>
      </c>
      <c r="S26" s="31">
        <f t="shared" si="4"/>
        <v>346</v>
      </c>
      <c r="T26" s="31">
        <f t="shared" si="5"/>
        <v>47</v>
      </c>
      <c r="U26" s="31">
        <f t="shared" si="6"/>
        <v>337</v>
      </c>
      <c r="V26" s="32">
        <f t="shared" si="7"/>
        <v>0.80238095238095242</v>
      </c>
      <c r="W26" s="30">
        <f t="shared" si="8"/>
        <v>1</v>
      </c>
      <c r="X26" s="33" t="str">
        <f t="shared" si="9"/>
        <v/>
      </c>
      <c r="Y26" s="34" t="str">
        <f t="shared" si="10"/>
        <v>46288|Ca 2|Máy tiện 1</v>
      </c>
    </row>
    <row r="27" spans="1:25" x14ac:dyDescent="0.2">
      <c r="A27" s="25">
        <v>46288</v>
      </c>
      <c r="B27" s="17" t="s">
        <v>73</v>
      </c>
      <c r="C27" s="13" t="s">
        <v>72</v>
      </c>
      <c r="D27" s="17"/>
      <c r="E27" s="17" t="s">
        <v>74</v>
      </c>
      <c r="F27" s="17" t="s">
        <v>150</v>
      </c>
      <c r="G27" s="26">
        <v>500</v>
      </c>
      <c r="H27" s="26">
        <v>444</v>
      </c>
      <c r="I27" s="26">
        <v>7</v>
      </c>
      <c r="J27" s="27">
        <v>46289.385416666657</v>
      </c>
      <c r="K27" s="13" t="s">
        <v>153</v>
      </c>
      <c r="L27" s="28">
        <f t="shared" si="0"/>
        <v>437</v>
      </c>
      <c r="M27" s="29">
        <f t="shared" si="1"/>
        <v>0.874</v>
      </c>
      <c r="N27" s="29">
        <f t="shared" si="2"/>
        <v>1.5765765765765764E-2</v>
      </c>
      <c r="O27" s="30">
        <f t="shared" si="3"/>
        <v>45</v>
      </c>
      <c r="P27" s="28">
        <f>IF($C27="","",IFERROR(INDEX(CA_TG,MATCH(B27,DS_CA,0))-INDEX(CA_NGHI,MATCH(B27,DS_CA,0))-SUMIFS('3 Nhật ký dừng máy'!$I$6:$I$1005,'3 Nhật ký dừng máy'!$A$6:$A$1005,$A27,'3 Nhật ký dừng máy'!$B$6:$B$1005,$B27,'3 Nhật ký dừng máy'!$C$6:$C$1005,$C27,'3 Nhật ký dừng máy'!$K$6:$K$1005,"Có kế hoạch"),"?"))</f>
        <v>420</v>
      </c>
      <c r="Q27" s="28">
        <f>IF($C27="","",SUMIFS('3 Nhật ký dừng máy'!$I$6:$I$1005,'3 Nhật ký dừng máy'!$A$6:$A$1005,$A27,'3 Nhật ký dừng máy'!$B$6:$B$1005,$B27,'3 Nhật ký dừng máy'!$C$6:$C$1005,$C27,'3 Nhật ký dừng máy'!$K$6:$K$1005,"Ngoài kế hoạch"))</f>
        <v>45</v>
      </c>
      <c r="R27" s="30">
        <f>IF($C27="","",COUNTIFS('3 Nhật ký dừng máy'!$A$6:$A$1005,$A27,'3 Nhật ký dừng máy'!$B$6:$B$1005,$B27,'3 Nhật ký dừng máy'!$C$6:$C$1005,$C27,'3 Nhật ký dừng máy'!$K$6:$K$1005,"Ngoài kế hoạch"))</f>
        <v>2</v>
      </c>
      <c r="S27" s="31">
        <f t="shared" si="4"/>
        <v>333</v>
      </c>
      <c r="T27" s="31">
        <f t="shared" si="5"/>
        <v>42</v>
      </c>
      <c r="U27" s="31">
        <f t="shared" si="6"/>
        <v>327.75</v>
      </c>
      <c r="V27" s="32">
        <f t="shared" si="7"/>
        <v>0.78035714285714286</v>
      </c>
      <c r="W27" s="30">
        <f t="shared" si="8"/>
        <v>1</v>
      </c>
      <c r="X27" s="33" t="str">
        <f t="shared" si="9"/>
        <v>Thiếu người đứng máy</v>
      </c>
      <c r="Y27" s="34" t="str">
        <f t="shared" si="10"/>
        <v>46288|Ca 2|Máy tiện 2</v>
      </c>
    </row>
    <row r="28" spans="1:25" x14ac:dyDescent="0.2">
      <c r="A28" s="25">
        <v>46288</v>
      </c>
      <c r="B28" s="17" t="s">
        <v>73</v>
      </c>
      <c r="C28" s="13" t="s">
        <v>81</v>
      </c>
      <c r="D28" s="17" t="s">
        <v>111</v>
      </c>
      <c r="E28" s="17" t="s">
        <v>83</v>
      </c>
      <c r="F28" s="17" t="s">
        <v>151</v>
      </c>
      <c r="G28" s="26">
        <v>250</v>
      </c>
      <c r="H28" s="26">
        <v>188</v>
      </c>
      <c r="I28" s="26">
        <v>4</v>
      </c>
      <c r="J28" s="27">
        <v>46289.347222222219</v>
      </c>
      <c r="K28" s="18"/>
      <c r="L28" s="28">
        <f t="shared" si="0"/>
        <v>184</v>
      </c>
      <c r="M28" s="29">
        <f t="shared" si="1"/>
        <v>0.73599999999999999</v>
      </c>
      <c r="N28" s="29">
        <f t="shared" si="2"/>
        <v>2.1276595744680851E-2</v>
      </c>
      <c r="O28" s="30">
        <f t="shared" si="3"/>
        <v>90</v>
      </c>
      <c r="P28" s="28">
        <f>IF($C28="","",IFERROR(INDEX(CA_TG,MATCH(B28,DS_CA,0))-INDEX(CA_NGHI,MATCH(B28,DS_CA,0))-SUMIFS('3 Nhật ký dừng máy'!$I$6:$I$1005,'3 Nhật ký dừng máy'!$A$6:$A$1005,$A28,'3 Nhật ký dừng máy'!$B$6:$B$1005,$B28,'3 Nhật ký dừng máy'!$C$6:$C$1005,$C28,'3 Nhật ký dừng máy'!$K$6:$K$1005,"Có kế hoạch"),"?"))</f>
        <v>420</v>
      </c>
      <c r="Q28" s="28">
        <f>IF($C28="","",SUMIFS('3 Nhật ký dừng máy'!$I$6:$I$1005,'3 Nhật ký dừng máy'!$A$6:$A$1005,$A28,'3 Nhật ký dừng máy'!$B$6:$B$1005,$B28,'3 Nhật ký dừng máy'!$C$6:$C$1005,$C28,'3 Nhật ký dừng máy'!$K$6:$K$1005,"Ngoài kế hoạch"))</f>
        <v>80</v>
      </c>
      <c r="R28" s="30">
        <f>IF($C28="","",COUNTIFS('3 Nhật ký dừng máy'!$A$6:$A$1005,$A28,'3 Nhật ký dừng máy'!$B$6:$B$1005,$B28,'3 Nhật ký dừng máy'!$C$6:$C$1005,$C28,'3 Nhật ký dừng máy'!$K$6:$K$1005,"Ngoài kế hoạch"))</f>
        <v>3</v>
      </c>
      <c r="S28" s="31">
        <f t="shared" si="4"/>
        <v>282</v>
      </c>
      <c r="T28" s="31">
        <f t="shared" si="5"/>
        <v>58</v>
      </c>
      <c r="U28" s="31">
        <f t="shared" si="6"/>
        <v>276</v>
      </c>
      <c r="V28" s="32">
        <f t="shared" si="7"/>
        <v>0.65714285714285714</v>
      </c>
      <c r="W28" s="30">
        <f t="shared" si="8"/>
        <v>1</v>
      </c>
      <c r="X28" s="33" t="str">
        <f t="shared" si="9"/>
        <v/>
      </c>
      <c r="Y28" s="34" t="str">
        <f t="shared" si="10"/>
        <v>46288|Ca 2|Máy phay 1</v>
      </c>
    </row>
    <row r="29" spans="1:25" x14ac:dyDescent="0.2">
      <c r="A29" s="25">
        <v>46288</v>
      </c>
      <c r="B29" s="17" t="s">
        <v>73</v>
      </c>
      <c r="C29" s="13" t="s">
        <v>90</v>
      </c>
      <c r="D29" s="17" t="s">
        <v>116</v>
      </c>
      <c r="E29" s="17" t="s">
        <v>92</v>
      </c>
      <c r="F29" s="17" t="s">
        <v>152</v>
      </c>
      <c r="G29" s="26">
        <v>1800</v>
      </c>
      <c r="H29" s="26">
        <v>1150</v>
      </c>
      <c r="I29" s="26">
        <v>11</v>
      </c>
      <c r="J29" s="27">
        <v>46289.347222222219</v>
      </c>
      <c r="K29" s="18"/>
      <c r="L29" s="28">
        <f t="shared" si="0"/>
        <v>1139</v>
      </c>
      <c r="M29" s="29">
        <f t="shared" si="1"/>
        <v>0.63277777777777777</v>
      </c>
      <c r="N29" s="29">
        <f t="shared" si="2"/>
        <v>9.5652173913043474E-3</v>
      </c>
      <c r="O29" s="30">
        <f t="shared" si="3"/>
        <v>12</v>
      </c>
      <c r="P29" s="28">
        <f>IF($C29="","",IFERROR(INDEX(CA_TG,MATCH(B29,DS_CA,0))-INDEX(CA_NGHI,MATCH(B29,DS_CA,0))-SUMIFS('3 Nhật ký dừng máy'!$I$6:$I$1005,'3 Nhật ký dừng máy'!$A$6:$A$1005,$A29,'3 Nhật ký dừng máy'!$B$6:$B$1005,$B29,'3 Nhật ký dừng máy'!$C$6:$C$1005,$C29,'3 Nhật ký dừng máy'!$K$6:$K$1005,"Có kế hoạch"),"?"))</f>
        <v>420</v>
      </c>
      <c r="Q29" s="28">
        <f>IF($C29="","",SUMIFS('3 Nhật ký dừng máy'!$I$6:$I$1005,'3 Nhật ký dừng máy'!$A$6:$A$1005,$A29,'3 Nhật ký dừng máy'!$B$6:$B$1005,$B29,'3 Nhật ký dừng máy'!$C$6:$C$1005,$C29,'3 Nhật ký dừng máy'!$K$6:$K$1005,"Ngoài kế hoạch"))</f>
        <v>106</v>
      </c>
      <c r="R29" s="30">
        <f>IF($C29="","",COUNTIFS('3 Nhật ký dừng máy'!$A$6:$A$1005,$A29,'3 Nhật ký dừng máy'!$B$6:$B$1005,$B29,'3 Nhật ký dừng máy'!$C$6:$C$1005,$C29,'3 Nhật ký dừng máy'!$K$6:$K$1005,"Ngoài kế hoạch"))</f>
        <v>3</v>
      </c>
      <c r="S29" s="31">
        <f t="shared" si="4"/>
        <v>230</v>
      </c>
      <c r="T29" s="31">
        <f t="shared" si="5"/>
        <v>84</v>
      </c>
      <c r="U29" s="31">
        <f t="shared" si="6"/>
        <v>227.8</v>
      </c>
      <c r="V29" s="32">
        <f t="shared" si="7"/>
        <v>0.54238095238095241</v>
      </c>
      <c r="W29" s="30">
        <f t="shared" si="8"/>
        <v>1</v>
      </c>
      <c r="X29" s="33" t="str">
        <f t="shared" si="9"/>
        <v/>
      </c>
      <c r="Y29" s="34" t="str">
        <f t="shared" si="10"/>
        <v>46288|Ca 2|Máy dập 1</v>
      </c>
    </row>
    <row r="30" spans="1:25" x14ac:dyDescent="0.2">
      <c r="A30" s="25">
        <v>46289</v>
      </c>
      <c r="B30" s="17" t="s">
        <v>63</v>
      </c>
      <c r="C30" s="13" t="s">
        <v>61</v>
      </c>
      <c r="D30" s="17" t="s">
        <v>70</v>
      </c>
      <c r="E30" s="17" t="s">
        <v>64</v>
      </c>
      <c r="F30" s="17" t="s">
        <v>149</v>
      </c>
      <c r="G30" s="26">
        <v>380</v>
      </c>
      <c r="H30" s="26">
        <v>306</v>
      </c>
      <c r="I30" s="26">
        <v>5</v>
      </c>
      <c r="J30" s="27">
        <v>46290.385416666657</v>
      </c>
      <c r="K30" s="18"/>
      <c r="L30" s="28">
        <f t="shared" si="0"/>
        <v>301</v>
      </c>
      <c r="M30" s="29">
        <f t="shared" si="1"/>
        <v>0.79210526315789476</v>
      </c>
      <c r="N30" s="29">
        <f t="shared" si="2"/>
        <v>1.6339869281045753E-2</v>
      </c>
      <c r="O30" s="30">
        <f t="shared" si="3"/>
        <v>60</v>
      </c>
      <c r="P30" s="28">
        <f>IF($C30="","",IFERROR(INDEX(CA_TG,MATCH(B30,DS_CA,0))-INDEX(CA_NGHI,MATCH(B30,DS_CA,0))-SUMIFS('3 Nhật ký dừng máy'!$I$6:$I$1005,'3 Nhật ký dừng máy'!$A$6:$A$1005,$A30,'3 Nhật ký dừng máy'!$B$6:$B$1005,$B30,'3 Nhật ký dừng máy'!$C$6:$C$1005,$C30,'3 Nhật ký dừng máy'!$K$6:$K$1005,"Có kế hoạch"),"?"))</f>
        <v>420</v>
      </c>
      <c r="Q30" s="28">
        <f>IF($C30="","",SUMIFS('3 Nhật ký dừng máy'!$I$6:$I$1005,'3 Nhật ký dừng máy'!$A$6:$A$1005,$A30,'3 Nhật ký dừng máy'!$B$6:$B$1005,$B30,'3 Nhật ký dừng máy'!$C$6:$C$1005,$C30,'3 Nhật ký dừng máy'!$K$6:$K$1005,"Ngoài kế hoạch"))</f>
        <v>85</v>
      </c>
      <c r="R30" s="30">
        <f>IF($C30="","",COUNTIFS('3 Nhật ký dừng máy'!$A$6:$A$1005,$A30,'3 Nhật ký dừng máy'!$B$6:$B$1005,$B30,'3 Nhật ký dừng máy'!$C$6:$C$1005,$C30,'3 Nhật ký dừng máy'!$K$6:$K$1005,"Ngoài kế hoạch"))</f>
        <v>2</v>
      </c>
      <c r="S30" s="31">
        <f t="shared" si="4"/>
        <v>306</v>
      </c>
      <c r="T30" s="31">
        <f t="shared" si="5"/>
        <v>29</v>
      </c>
      <c r="U30" s="31">
        <f t="shared" si="6"/>
        <v>301</v>
      </c>
      <c r="V30" s="32">
        <f t="shared" si="7"/>
        <v>0.71666666666666667</v>
      </c>
      <c r="W30" s="30">
        <f t="shared" si="8"/>
        <v>1</v>
      </c>
      <c r="X30" s="33" t="str">
        <f t="shared" si="9"/>
        <v/>
      </c>
      <c r="Y30" s="34" t="str">
        <f t="shared" si="10"/>
        <v>46289|Ca 1|Máy tiện 1</v>
      </c>
    </row>
    <row r="31" spans="1:25" x14ac:dyDescent="0.2">
      <c r="A31" s="25">
        <v>46289</v>
      </c>
      <c r="B31" s="17" t="s">
        <v>63</v>
      </c>
      <c r="C31" s="13" t="s">
        <v>72</v>
      </c>
      <c r="D31" s="17" t="s">
        <v>78</v>
      </c>
      <c r="E31" s="17" t="s">
        <v>74</v>
      </c>
      <c r="F31" s="17" t="s">
        <v>150</v>
      </c>
      <c r="G31" s="26">
        <v>500</v>
      </c>
      <c r="H31" s="26">
        <v>401</v>
      </c>
      <c r="I31" s="26">
        <v>9</v>
      </c>
      <c r="J31" s="27">
        <v>46290.322916666657</v>
      </c>
      <c r="K31" s="18"/>
      <c r="L31" s="28">
        <f t="shared" si="0"/>
        <v>392</v>
      </c>
      <c r="M31" s="29">
        <f t="shared" si="1"/>
        <v>0.78400000000000003</v>
      </c>
      <c r="N31" s="29">
        <f t="shared" si="2"/>
        <v>2.2443890274314215E-2</v>
      </c>
      <c r="O31" s="30">
        <f t="shared" si="3"/>
        <v>45</v>
      </c>
      <c r="P31" s="28">
        <f>IF($C31="","",IFERROR(INDEX(CA_TG,MATCH(B31,DS_CA,0))-INDEX(CA_NGHI,MATCH(B31,DS_CA,0))-SUMIFS('3 Nhật ký dừng máy'!$I$6:$I$1005,'3 Nhật ký dừng máy'!$A$6:$A$1005,$A31,'3 Nhật ký dừng máy'!$B$6:$B$1005,$B31,'3 Nhật ký dừng máy'!$C$6:$C$1005,$C31,'3 Nhật ký dừng máy'!$K$6:$K$1005,"Có kế hoạch"),"?"))</f>
        <v>420</v>
      </c>
      <c r="Q31" s="28">
        <f>IF($C31="","",SUMIFS('3 Nhật ký dừng máy'!$I$6:$I$1005,'3 Nhật ký dừng máy'!$A$6:$A$1005,$A31,'3 Nhật ký dừng máy'!$B$6:$B$1005,$B31,'3 Nhật ký dừng máy'!$C$6:$C$1005,$C31,'3 Nhật ký dừng máy'!$K$6:$K$1005,"Ngoài kế hoạch"))</f>
        <v>85</v>
      </c>
      <c r="R31" s="30">
        <f>IF($C31="","",COUNTIFS('3 Nhật ký dừng máy'!$A$6:$A$1005,$A31,'3 Nhật ký dừng máy'!$B$6:$B$1005,$B31,'3 Nhật ký dừng máy'!$C$6:$C$1005,$C31,'3 Nhật ký dừng máy'!$K$6:$K$1005,"Ngoài kế hoạch"))</f>
        <v>2</v>
      </c>
      <c r="S31" s="31">
        <f t="shared" si="4"/>
        <v>300.75</v>
      </c>
      <c r="T31" s="31">
        <f t="shared" si="5"/>
        <v>34.25</v>
      </c>
      <c r="U31" s="31">
        <f t="shared" si="6"/>
        <v>294</v>
      </c>
      <c r="V31" s="32">
        <f t="shared" si="7"/>
        <v>0.7</v>
      </c>
      <c r="W31" s="30">
        <f t="shared" si="8"/>
        <v>1</v>
      </c>
      <c r="X31" s="33" t="str">
        <f t="shared" si="9"/>
        <v/>
      </c>
      <c r="Y31" s="34" t="str">
        <f t="shared" si="10"/>
        <v>46289|Ca 1|Máy tiện 2</v>
      </c>
    </row>
    <row r="32" spans="1:25" x14ac:dyDescent="0.2">
      <c r="A32" s="25">
        <v>46289</v>
      </c>
      <c r="B32" s="17" t="s">
        <v>63</v>
      </c>
      <c r="C32" s="13" t="s">
        <v>81</v>
      </c>
      <c r="D32" s="17" t="s">
        <v>88</v>
      </c>
      <c r="E32" s="17" t="s">
        <v>83</v>
      </c>
      <c r="F32" s="17" t="s">
        <v>151</v>
      </c>
      <c r="G32" s="26">
        <v>250</v>
      </c>
      <c r="H32" s="26">
        <v>217</v>
      </c>
      <c r="I32" s="26">
        <v>5</v>
      </c>
      <c r="J32" s="27">
        <v>46289.607638888891</v>
      </c>
      <c r="K32" s="18"/>
      <c r="L32" s="28">
        <f t="shared" si="0"/>
        <v>212</v>
      </c>
      <c r="M32" s="29">
        <f t="shared" si="1"/>
        <v>0.84799999999999998</v>
      </c>
      <c r="N32" s="29">
        <f t="shared" si="2"/>
        <v>2.3041474654377881E-2</v>
      </c>
      <c r="O32" s="30">
        <f t="shared" si="3"/>
        <v>90</v>
      </c>
      <c r="P32" s="28">
        <f>IF($C32="","",IFERROR(INDEX(CA_TG,MATCH(B32,DS_CA,0))-INDEX(CA_NGHI,MATCH(B32,DS_CA,0))-SUMIFS('3 Nhật ký dừng máy'!$I$6:$I$1005,'3 Nhật ký dừng máy'!$A$6:$A$1005,$A32,'3 Nhật ký dừng máy'!$B$6:$B$1005,$B32,'3 Nhật ký dừng máy'!$C$6:$C$1005,$C32,'3 Nhật ký dừng máy'!$K$6:$K$1005,"Có kế hoạch"),"?"))</f>
        <v>420</v>
      </c>
      <c r="Q32" s="28">
        <f>IF($C32="","",SUMIFS('3 Nhật ký dừng máy'!$I$6:$I$1005,'3 Nhật ký dừng máy'!$A$6:$A$1005,$A32,'3 Nhật ký dừng máy'!$B$6:$B$1005,$B32,'3 Nhật ký dừng máy'!$C$6:$C$1005,$C32,'3 Nhật ký dừng máy'!$K$6:$K$1005,"Ngoài kế hoạch"))</f>
        <v>45</v>
      </c>
      <c r="R32" s="30">
        <f>IF($C32="","",COUNTIFS('3 Nhật ký dừng máy'!$A$6:$A$1005,$A32,'3 Nhật ký dừng máy'!$B$6:$B$1005,$B32,'3 Nhật ký dừng máy'!$C$6:$C$1005,$C32,'3 Nhật ký dừng máy'!$K$6:$K$1005,"Ngoài kế hoạch"))</f>
        <v>1</v>
      </c>
      <c r="S32" s="31">
        <f t="shared" si="4"/>
        <v>325.5</v>
      </c>
      <c r="T32" s="31">
        <f t="shared" si="5"/>
        <v>49.5</v>
      </c>
      <c r="U32" s="31">
        <f t="shared" si="6"/>
        <v>318</v>
      </c>
      <c r="V32" s="32">
        <f t="shared" si="7"/>
        <v>0.75714285714285712</v>
      </c>
      <c r="W32" s="30">
        <f t="shared" si="8"/>
        <v>0</v>
      </c>
      <c r="X32" s="33" t="str">
        <f t="shared" si="9"/>
        <v/>
      </c>
      <c r="Y32" s="34" t="str">
        <f t="shared" si="10"/>
        <v>46289|Ca 1|Máy phay 1</v>
      </c>
    </row>
    <row r="33" spans="1:25" x14ac:dyDescent="0.2">
      <c r="A33" s="25">
        <v>46289</v>
      </c>
      <c r="B33" s="17" t="s">
        <v>63</v>
      </c>
      <c r="C33" s="13" t="s">
        <v>90</v>
      </c>
      <c r="D33" s="17" t="s">
        <v>96</v>
      </c>
      <c r="E33" s="17" t="s">
        <v>99</v>
      </c>
      <c r="F33" s="17" t="s">
        <v>154</v>
      </c>
      <c r="G33" s="26">
        <v>1450</v>
      </c>
      <c r="H33" s="26">
        <v>1697</v>
      </c>
      <c r="I33" s="26">
        <v>18</v>
      </c>
      <c r="J33" s="27">
        <v>46290.4375</v>
      </c>
      <c r="K33" s="18"/>
      <c r="L33" s="28">
        <f t="shared" si="0"/>
        <v>1679</v>
      </c>
      <c r="M33" s="29">
        <f t="shared" si="1"/>
        <v>1.1579310344827587</v>
      </c>
      <c r="N33" s="29">
        <f t="shared" si="2"/>
        <v>1.060695344725987E-2</v>
      </c>
      <c r="O33" s="30">
        <f t="shared" si="3"/>
        <v>15</v>
      </c>
      <c r="P33" s="28">
        <f>IF($C33="","",IFERROR(INDEX(CA_TG,MATCH(B33,DS_CA,0))-INDEX(CA_NGHI,MATCH(B33,DS_CA,0))-SUMIFS('3 Nhật ký dừng máy'!$I$6:$I$1005,'3 Nhật ký dừng máy'!$A$6:$A$1005,$A33,'3 Nhật ký dừng máy'!$B$6:$B$1005,$B33,'3 Nhật ký dừng máy'!$C$6:$C$1005,$C33,'3 Nhật ký dừng máy'!$K$6:$K$1005,"Có kế hoạch"),"?"))</f>
        <v>420</v>
      </c>
      <c r="Q33" s="28">
        <f>IF($C33="","",SUMIFS('3 Nhật ký dừng máy'!$I$6:$I$1005,'3 Nhật ký dừng máy'!$A$6:$A$1005,$A33,'3 Nhật ký dừng máy'!$B$6:$B$1005,$B33,'3 Nhật ký dừng máy'!$C$6:$C$1005,$C33,'3 Nhật ký dừng máy'!$K$6:$K$1005,"Ngoài kế hoạch"))</f>
        <v>80</v>
      </c>
      <c r="R33" s="30">
        <f>IF($C33="","",COUNTIFS('3 Nhật ký dừng máy'!$A$6:$A$1005,$A33,'3 Nhật ký dừng máy'!$B$6:$B$1005,$B33,'3 Nhật ký dừng máy'!$C$6:$C$1005,$C33,'3 Nhật ký dừng máy'!$K$6:$K$1005,"Ngoài kế hoạch"))</f>
        <v>3</v>
      </c>
      <c r="S33" s="31">
        <f t="shared" si="4"/>
        <v>424.25</v>
      </c>
      <c r="T33" s="31">
        <f t="shared" si="5"/>
        <v>-84.25</v>
      </c>
      <c r="U33" s="31">
        <f t="shared" si="6"/>
        <v>419.75</v>
      </c>
      <c r="V33" s="32">
        <f t="shared" si="7"/>
        <v>0.99940476190476191</v>
      </c>
      <c r="W33" s="30">
        <f t="shared" si="8"/>
        <v>1</v>
      </c>
      <c r="X33" s="33" t="str">
        <f t="shared" si="9"/>
        <v>Nhanh hơn chu kỳ chuẩn — chuẩn đặt rộng?</v>
      </c>
      <c r="Y33" s="34" t="str">
        <f t="shared" si="10"/>
        <v>46289|Ca 1|Máy dập 1</v>
      </c>
    </row>
    <row r="34" spans="1:25" x14ac:dyDescent="0.2">
      <c r="A34" s="25">
        <v>46289</v>
      </c>
      <c r="B34" s="17" t="s">
        <v>73</v>
      </c>
      <c r="C34" s="13" t="s">
        <v>61</v>
      </c>
      <c r="D34" s="17" t="s">
        <v>103</v>
      </c>
      <c r="E34" s="17" t="s">
        <v>64</v>
      </c>
      <c r="F34" s="17" t="s">
        <v>149</v>
      </c>
      <c r="G34" s="26">
        <v>380</v>
      </c>
      <c r="H34" s="26">
        <v>295</v>
      </c>
      <c r="I34" s="26">
        <v>8</v>
      </c>
      <c r="J34" s="27">
        <v>46290.336805555547</v>
      </c>
      <c r="K34" s="18"/>
      <c r="L34" s="28">
        <f t="shared" si="0"/>
        <v>287</v>
      </c>
      <c r="M34" s="29">
        <f t="shared" si="1"/>
        <v>0.75526315789473686</v>
      </c>
      <c r="N34" s="29">
        <f t="shared" si="2"/>
        <v>2.7118644067796609E-2</v>
      </c>
      <c r="O34" s="30">
        <f t="shared" si="3"/>
        <v>60</v>
      </c>
      <c r="P34" s="28">
        <f>IF($C34="","",IFERROR(INDEX(CA_TG,MATCH(B34,DS_CA,0))-INDEX(CA_NGHI,MATCH(B34,DS_CA,0))-SUMIFS('3 Nhật ký dừng máy'!$I$6:$I$1005,'3 Nhật ký dừng máy'!$A$6:$A$1005,$A34,'3 Nhật ký dừng máy'!$B$6:$B$1005,$B34,'3 Nhật ký dừng máy'!$C$6:$C$1005,$C34,'3 Nhật ký dừng máy'!$K$6:$K$1005,"Có kế hoạch"),"?"))</f>
        <v>420</v>
      </c>
      <c r="Q34" s="28">
        <f>IF($C34="","",SUMIFS('3 Nhật ký dừng máy'!$I$6:$I$1005,'3 Nhật ký dừng máy'!$A$6:$A$1005,$A34,'3 Nhật ký dừng máy'!$B$6:$B$1005,$B34,'3 Nhật ký dừng máy'!$C$6:$C$1005,$C34,'3 Nhật ký dừng máy'!$K$6:$K$1005,"Ngoài kế hoạch"))</f>
        <v>80</v>
      </c>
      <c r="R34" s="30">
        <f>IF($C34="","",COUNTIFS('3 Nhật ký dừng máy'!$A$6:$A$1005,$A34,'3 Nhật ký dừng máy'!$B$6:$B$1005,$B34,'3 Nhật ký dừng máy'!$C$6:$C$1005,$C34,'3 Nhật ký dừng máy'!$K$6:$K$1005,"Ngoài kế hoạch"))</f>
        <v>3</v>
      </c>
      <c r="S34" s="31">
        <f t="shared" si="4"/>
        <v>295</v>
      </c>
      <c r="T34" s="31">
        <f t="shared" si="5"/>
        <v>45</v>
      </c>
      <c r="U34" s="31">
        <f t="shared" si="6"/>
        <v>287</v>
      </c>
      <c r="V34" s="32">
        <f t="shared" si="7"/>
        <v>0.68333333333333335</v>
      </c>
      <c r="W34" s="30">
        <f t="shared" si="8"/>
        <v>1</v>
      </c>
      <c r="X34" s="33" t="str">
        <f t="shared" si="9"/>
        <v/>
      </c>
      <c r="Y34" s="34" t="str">
        <f t="shared" si="10"/>
        <v>46289|Ca 2|Máy tiện 1</v>
      </c>
    </row>
    <row r="35" spans="1:25" x14ac:dyDescent="0.2">
      <c r="A35" s="25">
        <v>46289</v>
      </c>
      <c r="B35" s="17" t="s">
        <v>73</v>
      </c>
      <c r="C35" s="13" t="s">
        <v>72</v>
      </c>
      <c r="D35" s="17" t="s">
        <v>107</v>
      </c>
      <c r="E35" s="17" t="s">
        <v>74</v>
      </c>
      <c r="F35" s="17" t="s">
        <v>150</v>
      </c>
      <c r="G35" s="26">
        <v>500</v>
      </c>
      <c r="H35" s="26">
        <v>471</v>
      </c>
      <c r="I35" s="26">
        <v>9</v>
      </c>
      <c r="J35" s="27">
        <v>46290.322916666657</v>
      </c>
      <c r="K35" s="18"/>
      <c r="L35" s="28">
        <f t="shared" si="0"/>
        <v>462</v>
      </c>
      <c r="M35" s="29">
        <f t="shared" si="1"/>
        <v>0.92400000000000004</v>
      </c>
      <c r="N35" s="29">
        <f t="shared" si="2"/>
        <v>1.9108280254777069E-2</v>
      </c>
      <c r="O35" s="30">
        <f t="shared" si="3"/>
        <v>45</v>
      </c>
      <c r="P35" s="28">
        <f>IF($C35="","",IFERROR(INDEX(CA_TG,MATCH(B35,DS_CA,0))-INDEX(CA_NGHI,MATCH(B35,DS_CA,0))-SUMIFS('3 Nhật ký dừng máy'!$I$6:$I$1005,'3 Nhật ký dừng máy'!$A$6:$A$1005,$A35,'3 Nhật ký dừng máy'!$B$6:$B$1005,$B35,'3 Nhật ký dừng máy'!$C$6:$C$1005,$C35,'3 Nhật ký dừng máy'!$K$6:$K$1005,"Có kế hoạch"),"?"))</f>
        <v>420</v>
      </c>
      <c r="Q35" s="28">
        <f>IF($C35="","",SUMIFS('3 Nhật ký dừng máy'!$I$6:$I$1005,'3 Nhật ký dừng máy'!$A$6:$A$1005,$A35,'3 Nhật ký dừng máy'!$B$6:$B$1005,$B35,'3 Nhật ký dừng máy'!$C$6:$C$1005,$C35,'3 Nhật ký dừng máy'!$K$6:$K$1005,"Ngoài kế hoạch"))</f>
        <v>35</v>
      </c>
      <c r="R35" s="30">
        <f>IF($C35="","",COUNTIFS('3 Nhật ký dừng máy'!$A$6:$A$1005,$A35,'3 Nhật ký dừng máy'!$B$6:$B$1005,$B35,'3 Nhật ký dừng máy'!$C$6:$C$1005,$C35,'3 Nhật ký dừng máy'!$K$6:$K$1005,"Ngoài kế hoạch"))</f>
        <v>1</v>
      </c>
      <c r="S35" s="31">
        <f t="shared" si="4"/>
        <v>353.25</v>
      </c>
      <c r="T35" s="31">
        <f t="shared" si="5"/>
        <v>31.75</v>
      </c>
      <c r="U35" s="31">
        <f t="shared" si="6"/>
        <v>346.5</v>
      </c>
      <c r="V35" s="32">
        <f t="shared" si="7"/>
        <v>0.82499999999999996</v>
      </c>
      <c r="W35" s="30">
        <f t="shared" si="8"/>
        <v>1</v>
      </c>
      <c r="X35" s="33" t="str">
        <f t="shared" si="9"/>
        <v/>
      </c>
      <c r="Y35" s="34" t="str">
        <f t="shared" si="10"/>
        <v>46289|Ca 2|Máy tiện 2</v>
      </c>
    </row>
    <row r="36" spans="1:25" x14ac:dyDescent="0.2">
      <c r="A36" s="25">
        <v>46289</v>
      </c>
      <c r="B36" s="17" t="s">
        <v>73</v>
      </c>
      <c r="C36" s="13" t="s">
        <v>81</v>
      </c>
      <c r="D36" s="17" t="s">
        <v>111</v>
      </c>
      <c r="E36" s="17" t="s">
        <v>83</v>
      </c>
      <c r="F36" s="17" t="s">
        <v>151</v>
      </c>
      <c r="G36" s="26">
        <v>250</v>
      </c>
      <c r="H36" s="26">
        <v>211</v>
      </c>
      <c r="I36" s="26">
        <v>4</v>
      </c>
      <c r="J36" s="27">
        <v>46290.368055555547</v>
      </c>
      <c r="K36" s="18"/>
      <c r="L36" s="28">
        <f t="shared" si="0"/>
        <v>207</v>
      </c>
      <c r="M36" s="29">
        <f t="shared" si="1"/>
        <v>0.82799999999999996</v>
      </c>
      <c r="N36" s="29">
        <f t="shared" si="2"/>
        <v>1.8957345971563982E-2</v>
      </c>
      <c r="O36" s="30">
        <f t="shared" si="3"/>
        <v>90</v>
      </c>
      <c r="P36" s="28">
        <f>IF($C36="","",IFERROR(INDEX(CA_TG,MATCH(B36,DS_CA,0))-INDEX(CA_NGHI,MATCH(B36,DS_CA,0))-SUMIFS('3 Nhật ký dừng máy'!$I$6:$I$1005,'3 Nhật ký dừng máy'!$A$6:$A$1005,$A36,'3 Nhật ký dừng máy'!$B$6:$B$1005,$B36,'3 Nhật ký dừng máy'!$C$6:$C$1005,$C36,'3 Nhật ký dừng máy'!$K$6:$K$1005,"Có kế hoạch"),"?"))</f>
        <v>420</v>
      </c>
      <c r="Q36" s="28">
        <f>IF($C36="","",SUMIFS('3 Nhật ký dừng máy'!$I$6:$I$1005,'3 Nhật ký dừng máy'!$A$6:$A$1005,$A36,'3 Nhật ký dừng máy'!$B$6:$B$1005,$B36,'3 Nhật ký dừng máy'!$C$6:$C$1005,$C36,'3 Nhật ký dừng máy'!$K$6:$K$1005,"Ngoài kế hoạch"))</f>
        <v>45</v>
      </c>
      <c r="R36" s="30">
        <f>IF($C36="","",COUNTIFS('3 Nhật ký dừng máy'!$A$6:$A$1005,$A36,'3 Nhật ký dừng máy'!$B$6:$B$1005,$B36,'3 Nhật ký dừng máy'!$C$6:$C$1005,$C36,'3 Nhật ký dừng máy'!$K$6:$K$1005,"Ngoài kế hoạch"))</f>
        <v>1</v>
      </c>
      <c r="S36" s="31">
        <f t="shared" si="4"/>
        <v>316.5</v>
      </c>
      <c r="T36" s="31">
        <f t="shared" si="5"/>
        <v>58.5</v>
      </c>
      <c r="U36" s="31">
        <f t="shared" si="6"/>
        <v>310.5</v>
      </c>
      <c r="V36" s="32">
        <f t="shared" si="7"/>
        <v>0.73928571428571432</v>
      </c>
      <c r="W36" s="30">
        <f t="shared" si="8"/>
        <v>1</v>
      </c>
      <c r="X36" s="33" t="str">
        <f t="shared" si="9"/>
        <v/>
      </c>
      <c r="Y36" s="34" t="str">
        <f t="shared" si="10"/>
        <v>46289|Ca 2|Máy phay 1</v>
      </c>
    </row>
    <row r="37" spans="1:25" x14ac:dyDescent="0.2">
      <c r="A37" s="25">
        <v>46289</v>
      </c>
      <c r="B37" s="17" t="s">
        <v>73</v>
      </c>
      <c r="C37" s="13" t="s">
        <v>90</v>
      </c>
      <c r="D37" s="17" t="s">
        <v>116</v>
      </c>
      <c r="E37" s="17" t="s">
        <v>99</v>
      </c>
      <c r="F37" s="17" t="s">
        <v>154</v>
      </c>
      <c r="G37" s="26">
        <v>1450</v>
      </c>
      <c r="H37" s="26">
        <v>2043</v>
      </c>
      <c r="I37" s="26">
        <v>30</v>
      </c>
      <c r="J37" s="27">
        <v>46290.4375</v>
      </c>
      <c r="K37" s="18"/>
      <c r="L37" s="28">
        <f t="shared" si="0"/>
        <v>2013</v>
      </c>
      <c r="M37" s="29">
        <f t="shared" si="1"/>
        <v>1.3882758620689655</v>
      </c>
      <c r="N37" s="29">
        <f t="shared" si="2"/>
        <v>1.4684287812041116E-2</v>
      </c>
      <c r="O37" s="30">
        <f t="shared" si="3"/>
        <v>15</v>
      </c>
      <c r="P37" s="28">
        <f>IF($C37="","",IFERROR(INDEX(CA_TG,MATCH(B37,DS_CA,0))-INDEX(CA_NGHI,MATCH(B37,DS_CA,0))-SUMIFS('3 Nhật ký dừng máy'!$I$6:$I$1005,'3 Nhật ký dừng máy'!$A$6:$A$1005,$A37,'3 Nhật ký dừng máy'!$B$6:$B$1005,$B37,'3 Nhật ký dừng máy'!$C$6:$C$1005,$C37,'3 Nhật ký dừng máy'!$K$6:$K$1005,"Có kế hoạch"),"?"))</f>
        <v>420</v>
      </c>
      <c r="Q37" s="28">
        <f>IF($C37="","",SUMIFS('3 Nhật ký dừng máy'!$I$6:$I$1005,'3 Nhật ký dừng máy'!$A$6:$A$1005,$A37,'3 Nhật ký dừng máy'!$B$6:$B$1005,$B37,'3 Nhật ký dừng máy'!$C$6:$C$1005,$C37,'3 Nhật ký dừng máy'!$K$6:$K$1005,"Ngoài kế hoạch"))</f>
        <v>8</v>
      </c>
      <c r="R37" s="30">
        <f>IF($C37="","",COUNTIFS('3 Nhật ký dừng máy'!$A$6:$A$1005,$A37,'3 Nhật ký dừng máy'!$B$6:$B$1005,$B37,'3 Nhật ký dừng máy'!$C$6:$C$1005,$C37,'3 Nhật ký dừng máy'!$K$6:$K$1005,"Ngoài kế hoạch"))</f>
        <v>1</v>
      </c>
      <c r="S37" s="31">
        <f t="shared" si="4"/>
        <v>510.75</v>
      </c>
      <c r="T37" s="31">
        <f t="shared" si="5"/>
        <v>-98.75</v>
      </c>
      <c r="U37" s="31">
        <f t="shared" si="6"/>
        <v>503.25</v>
      </c>
      <c r="V37" s="32">
        <f t="shared" si="7"/>
        <v>1.1982142857142857</v>
      </c>
      <c r="W37" s="30">
        <f t="shared" si="8"/>
        <v>1</v>
      </c>
      <c r="X37" s="33" t="str">
        <f t="shared" si="9"/>
        <v>Nhanh hơn chu kỳ chuẩn — chuẩn đặt rộng?</v>
      </c>
      <c r="Y37" s="34" t="str">
        <f t="shared" si="10"/>
        <v>46289|Ca 2|Máy dập 1</v>
      </c>
    </row>
    <row r="38" spans="1:25" x14ac:dyDescent="0.2">
      <c r="A38" s="25">
        <v>46290</v>
      </c>
      <c r="B38" s="17" t="s">
        <v>63</v>
      </c>
      <c r="C38" s="13" t="s">
        <v>61</v>
      </c>
      <c r="D38" s="17" t="s">
        <v>70</v>
      </c>
      <c r="E38" s="17" t="s">
        <v>64</v>
      </c>
      <c r="F38" s="17" t="s">
        <v>149</v>
      </c>
      <c r="G38" s="26">
        <v>380</v>
      </c>
      <c r="H38" s="26">
        <v>376</v>
      </c>
      <c r="I38" s="26">
        <v>5</v>
      </c>
      <c r="J38" s="27">
        <v>46293.350694444453</v>
      </c>
      <c r="K38" s="18"/>
      <c r="L38" s="28">
        <f t="shared" si="0"/>
        <v>371</v>
      </c>
      <c r="M38" s="29">
        <f t="shared" si="1"/>
        <v>0.97631578947368425</v>
      </c>
      <c r="N38" s="29">
        <f t="shared" si="2"/>
        <v>1.3297872340425532E-2</v>
      </c>
      <c r="O38" s="30">
        <f t="shared" si="3"/>
        <v>60</v>
      </c>
      <c r="P38" s="28">
        <f>IF($C38="","",IFERROR(INDEX(CA_TG,MATCH(B38,DS_CA,0))-INDEX(CA_NGHI,MATCH(B38,DS_CA,0))-SUMIFS('3 Nhật ký dừng máy'!$I$6:$I$1005,'3 Nhật ký dừng máy'!$A$6:$A$1005,$A38,'3 Nhật ký dừng máy'!$B$6:$B$1005,$B38,'3 Nhật ký dừng máy'!$C$6:$C$1005,$C38,'3 Nhật ký dừng máy'!$K$6:$K$1005,"Có kế hoạch"),"?"))</f>
        <v>420</v>
      </c>
      <c r="Q38" s="28">
        <f>IF($C38="","",SUMIFS('3 Nhật ký dừng máy'!$I$6:$I$1005,'3 Nhật ký dừng máy'!$A$6:$A$1005,$A38,'3 Nhật ký dừng máy'!$B$6:$B$1005,$B38,'3 Nhật ký dừng máy'!$C$6:$C$1005,$C38,'3 Nhật ký dừng máy'!$K$6:$K$1005,"Ngoài kế hoạch"))</f>
        <v>8</v>
      </c>
      <c r="R38" s="30">
        <f>IF($C38="","",COUNTIFS('3 Nhật ký dừng máy'!$A$6:$A$1005,$A38,'3 Nhật ký dừng máy'!$B$6:$B$1005,$B38,'3 Nhật ký dừng máy'!$C$6:$C$1005,$C38,'3 Nhật ký dừng máy'!$K$6:$K$1005,"Ngoài kế hoạch"))</f>
        <v>1</v>
      </c>
      <c r="S38" s="31">
        <f t="shared" si="4"/>
        <v>376</v>
      </c>
      <c r="T38" s="31">
        <f t="shared" si="5"/>
        <v>36</v>
      </c>
      <c r="U38" s="31">
        <f t="shared" si="6"/>
        <v>371</v>
      </c>
      <c r="V38" s="32">
        <f t="shared" si="7"/>
        <v>0.8833333333333333</v>
      </c>
      <c r="W38" s="30">
        <f t="shared" si="8"/>
        <v>3</v>
      </c>
      <c r="X38" s="33" t="str">
        <f t="shared" si="9"/>
        <v/>
      </c>
      <c r="Y38" s="34" t="str">
        <f t="shared" si="10"/>
        <v>46290|Ca 1|Máy tiện 1</v>
      </c>
    </row>
    <row r="39" spans="1:25" x14ac:dyDescent="0.2">
      <c r="A39" s="25">
        <v>46290</v>
      </c>
      <c r="B39" s="17" t="s">
        <v>63</v>
      </c>
      <c r="C39" s="13" t="s">
        <v>72</v>
      </c>
      <c r="D39" s="17" t="s">
        <v>78</v>
      </c>
      <c r="E39" s="17" t="s">
        <v>74</v>
      </c>
      <c r="F39" s="17" t="s">
        <v>150</v>
      </c>
      <c r="G39" s="26">
        <v>500</v>
      </c>
      <c r="H39" s="26">
        <v>479</v>
      </c>
      <c r="I39" s="26">
        <v>10</v>
      </c>
      <c r="J39" s="27">
        <v>46293.350694444453</v>
      </c>
      <c r="K39" s="18"/>
      <c r="L39" s="28">
        <f t="shared" si="0"/>
        <v>469</v>
      </c>
      <c r="M39" s="29">
        <f t="shared" si="1"/>
        <v>0.93799999999999994</v>
      </c>
      <c r="N39" s="29">
        <f t="shared" si="2"/>
        <v>2.0876826722338204E-2</v>
      </c>
      <c r="O39" s="30">
        <f t="shared" si="3"/>
        <v>45</v>
      </c>
      <c r="P39" s="28">
        <f>IF($C39="","",IFERROR(INDEX(CA_TG,MATCH(B39,DS_CA,0))-INDEX(CA_NGHI,MATCH(B39,DS_CA,0))-SUMIFS('3 Nhật ký dừng máy'!$I$6:$I$1005,'3 Nhật ký dừng máy'!$A$6:$A$1005,$A39,'3 Nhật ký dừng máy'!$B$6:$B$1005,$B39,'3 Nhật ký dừng máy'!$C$6:$C$1005,$C39,'3 Nhật ký dừng máy'!$K$6:$K$1005,"Có kế hoạch"),"?"))</f>
        <v>420</v>
      </c>
      <c r="Q39" s="28">
        <f>IF($C39="","",SUMIFS('3 Nhật ký dừng máy'!$I$6:$I$1005,'3 Nhật ký dừng máy'!$A$6:$A$1005,$A39,'3 Nhật ký dừng máy'!$B$6:$B$1005,$B39,'3 Nhật ký dừng máy'!$C$6:$C$1005,$C39,'3 Nhật ký dừng máy'!$K$6:$K$1005,"Ngoài kế hoạch"))</f>
        <v>25</v>
      </c>
      <c r="R39" s="30">
        <f>IF($C39="","",COUNTIFS('3 Nhật ký dừng máy'!$A$6:$A$1005,$A39,'3 Nhật ký dừng máy'!$B$6:$B$1005,$B39,'3 Nhật ký dừng máy'!$C$6:$C$1005,$C39,'3 Nhật ký dừng máy'!$K$6:$K$1005,"Ngoài kế hoạch"))</f>
        <v>1</v>
      </c>
      <c r="S39" s="31">
        <f t="shared" si="4"/>
        <v>359.25</v>
      </c>
      <c r="T39" s="31">
        <f t="shared" si="5"/>
        <v>35.75</v>
      </c>
      <c r="U39" s="31">
        <f t="shared" si="6"/>
        <v>351.75</v>
      </c>
      <c r="V39" s="32">
        <f t="shared" si="7"/>
        <v>0.83750000000000002</v>
      </c>
      <c r="W39" s="30">
        <f t="shared" si="8"/>
        <v>3</v>
      </c>
      <c r="X39" s="33" t="str">
        <f t="shared" si="9"/>
        <v/>
      </c>
      <c r="Y39" s="34" t="str">
        <f t="shared" si="10"/>
        <v>46290|Ca 1|Máy tiện 2</v>
      </c>
    </row>
    <row r="40" spans="1:25" x14ac:dyDescent="0.2">
      <c r="A40" s="25">
        <v>46290</v>
      </c>
      <c r="B40" s="17" t="s">
        <v>63</v>
      </c>
      <c r="C40" s="13" t="s">
        <v>81</v>
      </c>
      <c r="D40" s="17" t="s">
        <v>88</v>
      </c>
      <c r="E40" s="17" t="s">
        <v>83</v>
      </c>
      <c r="F40" s="17" t="s">
        <v>151</v>
      </c>
      <c r="G40" s="26">
        <v>250</v>
      </c>
      <c r="H40" s="26">
        <v>201</v>
      </c>
      <c r="I40" s="26">
        <v>4</v>
      </c>
      <c r="J40" s="27">
        <v>46293.340277777781</v>
      </c>
      <c r="K40" s="18"/>
      <c r="L40" s="28">
        <f t="shared" si="0"/>
        <v>197</v>
      </c>
      <c r="M40" s="29">
        <f t="shared" si="1"/>
        <v>0.78800000000000003</v>
      </c>
      <c r="N40" s="29">
        <f t="shared" si="2"/>
        <v>1.9900497512437811E-2</v>
      </c>
      <c r="O40" s="30">
        <f t="shared" si="3"/>
        <v>90</v>
      </c>
      <c r="P40" s="28">
        <f>IF($C40="","",IFERROR(INDEX(CA_TG,MATCH(B40,DS_CA,0))-INDEX(CA_NGHI,MATCH(B40,DS_CA,0))-SUMIFS('3 Nhật ký dừng máy'!$I$6:$I$1005,'3 Nhật ký dừng máy'!$A$6:$A$1005,$A40,'3 Nhật ký dừng máy'!$B$6:$B$1005,$B40,'3 Nhật ký dừng máy'!$C$6:$C$1005,$C40,'3 Nhật ký dừng máy'!$K$6:$K$1005,"Có kế hoạch"),"?"))</f>
        <v>420</v>
      </c>
      <c r="Q40" s="28">
        <f>IF($C40="","",SUMIFS('3 Nhật ký dừng máy'!$I$6:$I$1005,'3 Nhật ký dừng máy'!$A$6:$A$1005,$A40,'3 Nhật ký dừng máy'!$B$6:$B$1005,$B40,'3 Nhật ký dừng máy'!$C$6:$C$1005,$C40,'3 Nhật ký dừng máy'!$K$6:$K$1005,"Ngoài kế hoạch"))</f>
        <v>60</v>
      </c>
      <c r="R40" s="30">
        <f>IF($C40="","",COUNTIFS('3 Nhật ký dừng máy'!$A$6:$A$1005,$A40,'3 Nhật ký dừng máy'!$B$6:$B$1005,$B40,'3 Nhật ký dừng máy'!$C$6:$C$1005,$C40,'3 Nhật ký dừng máy'!$K$6:$K$1005,"Ngoài kế hoạch"))</f>
        <v>1</v>
      </c>
      <c r="S40" s="31">
        <f t="shared" si="4"/>
        <v>301.5</v>
      </c>
      <c r="T40" s="31">
        <f t="shared" si="5"/>
        <v>58.5</v>
      </c>
      <c r="U40" s="31">
        <f t="shared" si="6"/>
        <v>295.5</v>
      </c>
      <c r="V40" s="32">
        <f t="shared" si="7"/>
        <v>0.70357142857142863</v>
      </c>
      <c r="W40" s="30">
        <f t="shared" si="8"/>
        <v>3</v>
      </c>
      <c r="X40" s="33" t="str">
        <f t="shared" si="9"/>
        <v/>
      </c>
      <c r="Y40" s="34" t="str">
        <f t="shared" si="10"/>
        <v>46290|Ca 1|Máy phay 1</v>
      </c>
    </row>
    <row r="41" spans="1:25" x14ac:dyDescent="0.2">
      <c r="A41" s="25">
        <v>46290</v>
      </c>
      <c r="B41" s="17" t="s">
        <v>63</v>
      </c>
      <c r="C41" s="13" t="s">
        <v>90</v>
      </c>
      <c r="D41" s="17" t="s">
        <v>96</v>
      </c>
      <c r="E41" s="17" t="s">
        <v>99</v>
      </c>
      <c r="F41" s="17" t="s">
        <v>154</v>
      </c>
      <c r="G41" s="26">
        <v>1450</v>
      </c>
      <c r="H41" s="26">
        <v>2106</v>
      </c>
      <c r="I41" s="26">
        <v>23</v>
      </c>
      <c r="J41" s="27">
        <v>46293.361111111109</v>
      </c>
      <c r="K41" s="18"/>
      <c r="L41" s="28">
        <f t="shared" si="0"/>
        <v>2083</v>
      </c>
      <c r="M41" s="29">
        <f t="shared" si="1"/>
        <v>1.4365517241379311</v>
      </c>
      <c r="N41" s="29">
        <f t="shared" si="2"/>
        <v>1.0921177587844255E-2</v>
      </c>
      <c r="O41" s="30">
        <f t="shared" si="3"/>
        <v>15</v>
      </c>
      <c r="P41" s="28">
        <f>IF($C41="","",IFERROR(INDEX(CA_TG,MATCH(B41,DS_CA,0))-INDEX(CA_NGHI,MATCH(B41,DS_CA,0))-SUMIFS('3 Nhật ký dừng máy'!$I$6:$I$1005,'3 Nhật ký dừng máy'!$A$6:$A$1005,$A41,'3 Nhật ký dừng máy'!$B$6:$B$1005,$B41,'3 Nhật ký dừng máy'!$C$6:$C$1005,$C41,'3 Nhật ký dừng máy'!$K$6:$K$1005,"Có kế hoạch"),"?"))</f>
        <v>420</v>
      </c>
      <c r="Q41" s="28">
        <f>IF($C41="","",SUMIFS('3 Nhật ký dừng máy'!$I$6:$I$1005,'3 Nhật ký dừng máy'!$A$6:$A$1005,$A41,'3 Nhật ký dừng máy'!$B$6:$B$1005,$B41,'3 Nhật ký dừng máy'!$C$6:$C$1005,$C41,'3 Nhật ký dừng máy'!$K$6:$K$1005,"Ngoài kế hoạch"))</f>
        <v>0</v>
      </c>
      <c r="R41" s="30">
        <f>IF($C41="","",COUNTIFS('3 Nhật ký dừng máy'!$A$6:$A$1005,$A41,'3 Nhật ký dừng máy'!$B$6:$B$1005,$B41,'3 Nhật ký dừng máy'!$C$6:$C$1005,$C41,'3 Nhật ký dừng máy'!$K$6:$K$1005,"Ngoài kế hoạch"))</f>
        <v>0</v>
      </c>
      <c r="S41" s="31">
        <f t="shared" si="4"/>
        <v>526.5</v>
      </c>
      <c r="T41" s="31">
        <f t="shared" si="5"/>
        <v>-106.5</v>
      </c>
      <c r="U41" s="31">
        <f t="shared" si="6"/>
        <v>520.75</v>
      </c>
      <c r="V41" s="32">
        <f t="shared" si="7"/>
        <v>1.2398809523809524</v>
      </c>
      <c r="W41" s="30">
        <f t="shared" si="8"/>
        <v>3</v>
      </c>
      <c r="X41" s="33" t="str">
        <f t="shared" si="9"/>
        <v>Nhanh hơn chu kỳ chuẩn — chuẩn đặt rộng?; Không ghi lần dừng nào</v>
      </c>
      <c r="Y41" s="34" t="str">
        <f t="shared" si="10"/>
        <v>46290|Ca 1|Máy dập 1</v>
      </c>
    </row>
    <row r="42" spans="1:25" x14ac:dyDescent="0.2">
      <c r="A42" s="25">
        <v>46290</v>
      </c>
      <c r="B42" s="17" t="s">
        <v>73</v>
      </c>
      <c r="C42" s="13" t="s">
        <v>61</v>
      </c>
      <c r="D42" s="17" t="s">
        <v>103</v>
      </c>
      <c r="E42" s="17" t="s">
        <v>64</v>
      </c>
      <c r="F42" s="17" t="s">
        <v>149</v>
      </c>
      <c r="G42" s="26">
        <v>380</v>
      </c>
      <c r="H42" s="26">
        <v>310</v>
      </c>
      <c r="I42" s="26">
        <v>8</v>
      </c>
      <c r="J42" s="27">
        <v>46293.350694444453</v>
      </c>
      <c r="K42" s="18"/>
      <c r="L42" s="28">
        <f t="shared" si="0"/>
        <v>302</v>
      </c>
      <c r="M42" s="29">
        <f t="shared" si="1"/>
        <v>0.79473684210526319</v>
      </c>
      <c r="N42" s="29">
        <f t="shared" si="2"/>
        <v>2.5806451612903226E-2</v>
      </c>
      <c r="O42" s="30">
        <f t="shared" si="3"/>
        <v>60</v>
      </c>
      <c r="P42" s="28">
        <f>IF($C42="","",IFERROR(INDEX(CA_TG,MATCH(B42,DS_CA,0))-INDEX(CA_NGHI,MATCH(B42,DS_CA,0))-SUMIFS('3 Nhật ký dừng máy'!$I$6:$I$1005,'3 Nhật ký dừng máy'!$A$6:$A$1005,$A42,'3 Nhật ký dừng máy'!$B$6:$B$1005,$B42,'3 Nhật ký dừng máy'!$C$6:$C$1005,$C42,'3 Nhật ký dừng máy'!$K$6:$K$1005,"Có kế hoạch"),"?"))</f>
        <v>420</v>
      </c>
      <c r="Q42" s="28">
        <f>IF($C42="","",SUMIFS('3 Nhật ký dừng máy'!$I$6:$I$1005,'3 Nhật ký dừng máy'!$A$6:$A$1005,$A42,'3 Nhật ký dừng máy'!$B$6:$B$1005,$B42,'3 Nhật ký dừng máy'!$C$6:$C$1005,$C42,'3 Nhật ký dừng máy'!$K$6:$K$1005,"Ngoài kế hoạch"))</f>
        <v>75</v>
      </c>
      <c r="R42" s="30">
        <f>IF($C42="","",COUNTIFS('3 Nhật ký dừng máy'!$A$6:$A$1005,$A42,'3 Nhật ký dừng máy'!$B$6:$B$1005,$B42,'3 Nhật ký dừng máy'!$C$6:$C$1005,$C42,'3 Nhật ký dừng máy'!$K$6:$K$1005,"Ngoài kế hoạch"))</f>
        <v>2</v>
      </c>
      <c r="S42" s="31">
        <f t="shared" si="4"/>
        <v>310</v>
      </c>
      <c r="T42" s="31">
        <f t="shared" si="5"/>
        <v>35</v>
      </c>
      <c r="U42" s="31">
        <f t="shared" si="6"/>
        <v>302</v>
      </c>
      <c r="V42" s="32">
        <f t="shared" si="7"/>
        <v>0.71904761904761905</v>
      </c>
      <c r="W42" s="30">
        <f t="shared" si="8"/>
        <v>3</v>
      </c>
      <c r="X42" s="33" t="str">
        <f t="shared" si="9"/>
        <v/>
      </c>
      <c r="Y42" s="34" t="str">
        <f t="shared" si="10"/>
        <v>46290|Ca 2|Máy tiện 1</v>
      </c>
    </row>
    <row r="43" spans="1:25" x14ac:dyDescent="0.2">
      <c r="A43" s="25">
        <v>46290</v>
      </c>
      <c r="B43" s="17" t="s">
        <v>73</v>
      </c>
      <c r="C43" s="13" t="s">
        <v>72</v>
      </c>
      <c r="D43" s="17" t="s">
        <v>107</v>
      </c>
      <c r="E43" s="17" t="s">
        <v>74</v>
      </c>
      <c r="F43" s="17" t="s">
        <v>150</v>
      </c>
      <c r="G43" s="26">
        <v>360</v>
      </c>
      <c r="H43" s="26">
        <v>297</v>
      </c>
      <c r="I43" s="26">
        <v>4</v>
      </c>
      <c r="J43" s="27">
        <v>46293.378472222219</v>
      </c>
      <c r="K43" s="18"/>
      <c r="L43" s="28">
        <f t="shared" si="0"/>
        <v>293</v>
      </c>
      <c r="M43" s="29">
        <f t="shared" si="1"/>
        <v>0.81388888888888888</v>
      </c>
      <c r="N43" s="29">
        <f t="shared" si="2"/>
        <v>1.3468013468013467E-2</v>
      </c>
      <c r="O43" s="30">
        <f t="shared" si="3"/>
        <v>45</v>
      </c>
      <c r="P43" s="28">
        <f>IF($C43="","",IFERROR(INDEX(CA_TG,MATCH(B43,DS_CA,0))-INDEX(CA_NGHI,MATCH(B43,DS_CA,0))-SUMIFS('3 Nhật ký dừng máy'!$I$6:$I$1005,'3 Nhật ký dừng máy'!$A$6:$A$1005,$A43,'3 Nhật ký dừng máy'!$B$6:$B$1005,$B43,'3 Nhật ký dừng máy'!$C$6:$C$1005,$C43,'3 Nhật ký dừng máy'!$K$6:$K$1005,"Có kế hoạch"),"?"))</f>
        <v>300</v>
      </c>
      <c r="Q43" s="28">
        <f>IF($C43="","",SUMIFS('3 Nhật ký dừng máy'!$I$6:$I$1005,'3 Nhật ký dừng máy'!$A$6:$A$1005,$A43,'3 Nhật ký dừng máy'!$B$6:$B$1005,$B43,'3 Nhật ký dừng máy'!$C$6:$C$1005,$C43,'3 Nhật ký dừng máy'!$K$6:$K$1005,"Ngoài kế hoạch"))</f>
        <v>60</v>
      </c>
      <c r="R43" s="30">
        <f>IF($C43="","",COUNTIFS('3 Nhật ký dừng máy'!$A$6:$A$1005,$A43,'3 Nhật ký dừng máy'!$B$6:$B$1005,$B43,'3 Nhật ký dừng máy'!$C$6:$C$1005,$C43,'3 Nhật ký dừng máy'!$K$6:$K$1005,"Ngoài kế hoạch"))</f>
        <v>1</v>
      </c>
      <c r="S43" s="31">
        <f t="shared" si="4"/>
        <v>222.75</v>
      </c>
      <c r="T43" s="31">
        <f t="shared" si="5"/>
        <v>17.25</v>
      </c>
      <c r="U43" s="31">
        <f t="shared" si="6"/>
        <v>219.75</v>
      </c>
      <c r="V43" s="32">
        <f t="shared" si="7"/>
        <v>0.73250000000000004</v>
      </c>
      <c r="W43" s="30">
        <f t="shared" si="8"/>
        <v>3</v>
      </c>
      <c r="X43" s="33" t="str">
        <f t="shared" si="9"/>
        <v/>
      </c>
      <c r="Y43" s="34" t="str">
        <f t="shared" si="10"/>
        <v>46290|Ca 2|Máy tiện 2</v>
      </c>
    </row>
    <row r="44" spans="1:25" x14ac:dyDescent="0.2">
      <c r="A44" s="25">
        <v>46290</v>
      </c>
      <c r="B44" s="17" t="s">
        <v>73</v>
      </c>
      <c r="C44" s="13" t="s">
        <v>81</v>
      </c>
      <c r="D44" s="17" t="s">
        <v>111</v>
      </c>
      <c r="E44" s="17" t="s">
        <v>83</v>
      </c>
      <c r="F44" s="17" t="s">
        <v>151</v>
      </c>
      <c r="G44" s="26">
        <v>250</v>
      </c>
      <c r="H44" s="26">
        <v>222</v>
      </c>
      <c r="I44" s="26">
        <v>5</v>
      </c>
      <c r="J44" s="27">
        <v>46293.378472222219</v>
      </c>
      <c r="K44" s="18"/>
      <c r="L44" s="28">
        <f t="shared" si="0"/>
        <v>217</v>
      </c>
      <c r="M44" s="29">
        <f t="shared" si="1"/>
        <v>0.86799999999999999</v>
      </c>
      <c r="N44" s="29">
        <f t="shared" si="2"/>
        <v>2.2522522522522521E-2</v>
      </c>
      <c r="O44" s="30">
        <f t="shared" si="3"/>
        <v>90</v>
      </c>
      <c r="P44" s="28">
        <f>IF($C44="","",IFERROR(INDEX(CA_TG,MATCH(B44,DS_CA,0))-INDEX(CA_NGHI,MATCH(B44,DS_CA,0))-SUMIFS('3 Nhật ký dừng máy'!$I$6:$I$1005,'3 Nhật ký dừng máy'!$A$6:$A$1005,$A44,'3 Nhật ký dừng máy'!$B$6:$B$1005,$B44,'3 Nhật ký dừng máy'!$C$6:$C$1005,$C44,'3 Nhật ký dừng máy'!$K$6:$K$1005,"Có kế hoạch"),"?"))</f>
        <v>420</v>
      </c>
      <c r="Q44" s="28">
        <f>IF($C44="","",SUMIFS('3 Nhật ký dừng máy'!$I$6:$I$1005,'3 Nhật ký dừng máy'!$A$6:$A$1005,$A44,'3 Nhật ký dừng máy'!$B$6:$B$1005,$B44,'3 Nhật ký dừng máy'!$C$6:$C$1005,$C44,'3 Nhật ký dừng máy'!$K$6:$K$1005,"Ngoài kế hoạch"))</f>
        <v>40</v>
      </c>
      <c r="R44" s="30">
        <f>IF($C44="","",COUNTIFS('3 Nhật ký dừng máy'!$A$6:$A$1005,$A44,'3 Nhật ký dừng máy'!$B$6:$B$1005,$B44,'3 Nhật ký dừng máy'!$C$6:$C$1005,$C44,'3 Nhật ký dừng máy'!$K$6:$K$1005,"Ngoài kế hoạch"))</f>
        <v>1</v>
      </c>
      <c r="S44" s="31">
        <f t="shared" si="4"/>
        <v>333</v>
      </c>
      <c r="T44" s="31">
        <f t="shared" si="5"/>
        <v>47</v>
      </c>
      <c r="U44" s="31">
        <f t="shared" si="6"/>
        <v>325.5</v>
      </c>
      <c r="V44" s="32">
        <f t="shared" si="7"/>
        <v>0.77500000000000002</v>
      </c>
      <c r="W44" s="30">
        <f t="shared" si="8"/>
        <v>3</v>
      </c>
      <c r="X44" s="33" t="str">
        <f t="shared" si="9"/>
        <v/>
      </c>
      <c r="Y44" s="34" t="str">
        <f t="shared" si="10"/>
        <v>46290|Ca 2|Máy phay 1</v>
      </c>
    </row>
    <row r="45" spans="1:25" x14ac:dyDescent="0.2">
      <c r="A45" s="25">
        <v>46290</v>
      </c>
      <c r="B45" s="17" t="s">
        <v>73</v>
      </c>
      <c r="C45" s="13" t="s">
        <v>90</v>
      </c>
      <c r="D45" s="17" t="s">
        <v>116</v>
      </c>
      <c r="E45" s="17" t="s">
        <v>99</v>
      </c>
      <c r="F45" s="17" t="s">
        <v>154</v>
      </c>
      <c r="G45" s="26">
        <v>1450</v>
      </c>
      <c r="H45" s="26">
        <v>1957</v>
      </c>
      <c r="I45" s="26">
        <v>26</v>
      </c>
      <c r="J45" s="27">
        <v>46293.350694444453</v>
      </c>
      <c r="K45" s="18"/>
      <c r="L45" s="28">
        <f t="shared" si="0"/>
        <v>1931</v>
      </c>
      <c r="M45" s="29">
        <f t="shared" si="1"/>
        <v>1.3317241379310345</v>
      </c>
      <c r="N45" s="29">
        <f t="shared" si="2"/>
        <v>1.3285641287685232E-2</v>
      </c>
      <c r="O45" s="30">
        <f t="shared" si="3"/>
        <v>15</v>
      </c>
      <c r="P45" s="28">
        <f>IF($C45="","",IFERROR(INDEX(CA_TG,MATCH(B45,DS_CA,0))-INDEX(CA_NGHI,MATCH(B45,DS_CA,0))-SUMIFS('3 Nhật ký dừng máy'!$I$6:$I$1005,'3 Nhật ký dừng máy'!$A$6:$A$1005,$A45,'3 Nhật ký dừng máy'!$B$6:$B$1005,$B45,'3 Nhật ký dừng máy'!$C$6:$C$1005,$C45,'3 Nhật ký dừng máy'!$K$6:$K$1005,"Có kế hoạch"),"?"))</f>
        <v>420</v>
      </c>
      <c r="Q45" s="28">
        <f>IF($C45="","",SUMIFS('3 Nhật ký dừng máy'!$I$6:$I$1005,'3 Nhật ký dừng máy'!$A$6:$A$1005,$A45,'3 Nhật ký dừng máy'!$B$6:$B$1005,$B45,'3 Nhật ký dừng máy'!$C$6:$C$1005,$C45,'3 Nhật ký dừng máy'!$K$6:$K$1005,"Ngoài kế hoạch"))</f>
        <v>25</v>
      </c>
      <c r="R45" s="30">
        <f>IF($C45="","",COUNTIFS('3 Nhật ký dừng máy'!$A$6:$A$1005,$A45,'3 Nhật ký dừng máy'!$B$6:$B$1005,$B45,'3 Nhật ký dừng máy'!$C$6:$C$1005,$C45,'3 Nhật ký dừng máy'!$K$6:$K$1005,"Ngoài kế hoạch"))</f>
        <v>1</v>
      </c>
      <c r="S45" s="31">
        <f t="shared" si="4"/>
        <v>489.25</v>
      </c>
      <c r="T45" s="31">
        <f t="shared" si="5"/>
        <v>-94.25</v>
      </c>
      <c r="U45" s="31">
        <f t="shared" si="6"/>
        <v>482.75</v>
      </c>
      <c r="V45" s="32">
        <f t="shared" si="7"/>
        <v>1.1494047619047618</v>
      </c>
      <c r="W45" s="30">
        <f t="shared" si="8"/>
        <v>3</v>
      </c>
      <c r="X45" s="33" t="str">
        <f t="shared" si="9"/>
        <v>Nhanh hơn chu kỳ chuẩn — chuẩn đặt rộng?</v>
      </c>
      <c r="Y45" s="34" t="str">
        <f t="shared" si="10"/>
        <v>46290|Ca 2|Máy dập 1</v>
      </c>
    </row>
    <row r="46" spans="1:25" x14ac:dyDescent="0.2">
      <c r="A46" s="35"/>
      <c r="B46" s="21"/>
      <c r="C46" s="18"/>
      <c r="D46" s="21"/>
      <c r="E46" s="21"/>
      <c r="F46" s="21"/>
      <c r="G46" s="36"/>
      <c r="H46" s="36"/>
      <c r="I46" s="36"/>
      <c r="J46" s="37"/>
      <c r="K46" s="18"/>
      <c r="L46" s="28" t="str">
        <f t="shared" si="0"/>
        <v/>
      </c>
      <c r="M46" s="29" t="str">
        <f t="shared" si="1"/>
        <v/>
      </c>
      <c r="N46" s="29" t="str">
        <f t="shared" si="2"/>
        <v/>
      </c>
      <c r="O46" s="30" t="str">
        <f t="shared" si="3"/>
        <v/>
      </c>
      <c r="P46" s="28" t="str">
        <f>IF($C46="","",IFERROR(INDEX(CA_TG,MATCH(B46,DS_CA,0))-INDEX(CA_NGHI,MATCH(B46,DS_CA,0))-SUMIFS('3 Nhật ký dừng máy'!$I$6:$I$1005,'3 Nhật ký dừng máy'!$A$6:$A$1005,$A46,'3 Nhật ký dừng máy'!$B$6:$B$1005,$B46,'3 Nhật ký dừng máy'!$C$6:$C$1005,$C46,'3 Nhật ký dừng máy'!$K$6:$K$1005,"Có kế hoạch"),"?"))</f>
        <v/>
      </c>
      <c r="Q46" s="28" t="str">
        <f>IF($C46="","",SUMIFS('3 Nhật ký dừng máy'!$I$6:$I$1005,'3 Nhật ký dừng máy'!$A$6:$A$1005,$A46,'3 Nhật ký dừng máy'!$B$6:$B$1005,$B46,'3 Nhật ký dừng máy'!$C$6:$C$1005,$C46,'3 Nhật ký dừng máy'!$K$6:$K$1005,"Ngoài kế hoạch"))</f>
        <v/>
      </c>
      <c r="R46" s="30" t="str">
        <f>IF($C46="","",COUNTIFS('3 Nhật ký dừng máy'!$A$6:$A$1005,$A46,'3 Nhật ký dừng máy'!$B$6:$B$1005,$B46,'3 Nhật ký dừng máy'!$C$6:$C$1005,$C46,'3 Nhật ký dừng máy'!$K$6:$K$1005,"Ngoài kế hoạch"))</f>
        <v/>
      </c>
      <c r="S46" s="31" t="str">
        <f t="shared" si="4"/>
        <v/>
      </c>
      <c r="T46" s="31" t="str">
        <f t="shared" si="5"/>
        <v/>
      </c>
      <c r="U46" s="31" t="str">
        <f t="shared" si="6"/>
        <v/>
      </c>
      <c r="V46" s="32" t="str">
        <f t="shared" si="7"/>
        <v/>
      </c>
      <c r="W46" s="30" t="str">
        <f t="shared" si="8"/>
        <v/>
      </c>
      <c r="X46" s="33" t="str">
        <f t="shared" si="9"/>
        <v/>
      </c>
      <c r="Y46" s="34" t="str">
        <f t="shared" si="10"/>
        <v/>
      </c>
    </row>
    <row r="47" spans="1:25" x14ac:dyDescent="0.2">
      <c r="A47" s="35"/>
      <c r="B47" s="21"/>
      <c r="C47" s="18"/>
      <c r="D47" s="21"/>
      <c r="E47" s="21"/>
      <c r="F47" s="21"/>
      <c r="G47" s="36"/>
      <c r="H47" s="36"/>
      <c r="I47" s="36"/>
      <c r="J47" s="37"/>
      <c r="K47" s="18"/>
      <c r="L47" s="28" t="str">
        <f t="shared" si="0"/>
        <v/>
      </c>
      <c r="M47" s="29" t="str">
        <f t="shared" si="1"/>
        <v/>
      </c>
      <c r="N47" s="29" t="str">
        <f t="shared" si="2"/>
        <v/>
      </c>
      <c r="O47" s="30" t="str">
        <f t="shared" si="3"/>
        <v/>
      </c>
      <c r="P47" s="28" t="str">
        <f>IF($C47="","",IFERROR(INDEX(CA_TG,MATCH(B47,DS_CA,0))-INDEX(CA_NGHI,MATCH(B47,DS_CA,0))-SUMIFS('3 Nhật ký dừng máy'!$I$6:$I$1005,'3 Nhật ký dừng máy'!$A$6:$A$1005,$A47,'3 Nhật ký dừng máy'!$B$6:$B$1005,$B47,'3 Nhật ký dừng máy'!$C$6:$C$1005,$C47,'3 Nhật ký dừng máy'!$K$6:$K$1005,"Có kế hoạch"),"?"))</f>
        <v/>
      </c>
      <c r="Q47" s="28" t="str">
        <f>IF($C47="","",SUMIFS('3 Nhật ký dừng máy'!$I$6:$I$1005,'3 Nhật ký dừng máy'!$A$6:$A$1005,$A47,'3 Nhật ký dừng máy'!$B$6:$B$1005,$B47,'3 Nhật ký dừng máy'!$C$6:$C$1005,$C47,'3 Nhật ký dừng máy'!$K$6:$K$1005,"Ngoài kế hoạch"))</f>
        <v/>
      </c>
      <c r="R47" s="30" t="str">
        <f>IF($C47="","",COUNTIFS('3 Nhật ký dừng máy'!$A$6:$A$1005,$A47,'3 Nhật ký dừng máy'!$B$6:$B$1005,$B47,'3 Nhật ký dừng máy'!$C$6:$C$1005,$C47,'3 Nhật ký dừng máy'!$K$6:$K$1005,"Ngoài kế hoạch"))</f>
        <v/>
      </c>
      <c r="S47" s="31" t="str">
        <f t="shared" si="4"/>
        <v/>
      </c>
      <c r="T47" s="31" t="str">
        <f t="shared" si="5"/>
        <v/>
      </c>
      <c r="U47" s="31" t="str">
        <f t="shared" si="6"/>
        <v/>
      </c>
      <c r="V47" s="32" t="str">
        <f t="shared" si="7"/>
        <v/>
      </c>
      <c r="W47" s="30" t="str">
        <f t="shared" si="8"/>
        <v/>
      </c>
      <c r="X47" s="33" t="str">
        <f t="shared" si="9"/>
        <v/>
      </c>
      <c r="Y47" s="34" t="str">
        <f t="shared" si="10"/>
        <v/>
      </c>
    </row>
    <row r="48" spans="1:25" x14ac:dyDescent="0.2">
      <c r="A48" s="35"/>
      <c r="B48" s="21"/>
      <c r="C48" s="18"/>
      <c r="D48" s="21"/>
      <c r="E48" s="21"/>
      <c r="F48" s="21"/>
      <c r="G48" s="36"/>
      <c r="H48" s="36"/>
      <c r="I48" s="36"/>
      <c r="J48" s="37"/>
      <c r="K48" s="18"/>
      <c r="L48" s="28" t="str">
        <f t="shared" si="0"/>
        <v/>
      </c>
      <c r="M48" s="29" t="str">
        <f t="shared" si="1"/>
        <v/>
      </c>
      <c r="N48" s="29" t="str">
        <f t="shared" si="2"/>
        <v/>
      </c>
      <c r="O48" s="30" t="str">
        <f t="shared" si="3"/>
        <v/>
      </c>
      <c r="P48" s="28" t="str">
        <f>IF($C48="","",IFERROR(INDEX(CA_TG,MATCH(B48,DS_CA,0))-INDEX(CA_NGHI,MATCH(B48,DS_CA,0))-SUMIFS('3 Nhật ký dừng máy'!$I$6:$I$1005,'3 Nhật ký dừng máy'!$A$6:$A$1005,$A48,'3 Nhật ký dừng máy'!$B$6:$B$1005,$B48,'3 Nhật ký dừng máy'!$C$6:$C$1005,$C48,'3 Nhật ký dừng máy'!$K$6:$K$1005,"Có kế hoạch"),"?"))</f>
        <v/>
      </c>
      <c r="Q48" s="28" t="str">
        <f>IF($C48="","",SUMIFS('3 Nhật ký dừng máy'!$I$6:$I$1005,'3 Nhật ký dừng máy'!$A$6:$A$1005,$A48,'3 Nhật ký dừng máy'!$B$6:$B$1005,$B48,'3 Nhật ký dừng máy'!$C$6:$C$1005,$C48,'3 Nhật ký dừng máy'!$K$6:$K$1005,"Ngoài kế hoạch"))</f>
        <v/>
      </c>
      <c r="R48" s="30" t="str">
        <f>IF($C48="","",COUNTIFS('3 Nhật ký dừng máy'!$A$6:$A$1005,$A48,'3 Nhật ký dừng máy'!$B$6:$B$1005,$B48,'3 Nhật ký dừng máy'!$C$6:$C$1005,$C48,'3 Nhật ký dừng máy'!$K$6:$K$1005,"Ngoài kế hoạch"))</f>
        <v/>
      </c>
      <c r="S48" s="31" t="str">
        <f t="shared" si="4"/>
        <v/>
      </c>
      <c r="T48" s="31" t="str">
        <f t="shared" si="5"/>
        <v/>
      </c>
      <c r="U48" s="31" t="str">
        <f t="shared" si="6"/>
        <v/>
      </c>
      <c r="V48" s="32" t="str">
        <f t="shared" si="7"/>
        <v/>
      </c>
      <c r="W48" s="30" t="str">
        <f t="shared" si="8"/>
        <v/>
      </c>
      <c r="X48" s="33" t="str">
        <f t="shared" si="9"/>
        <v/>
      </c>
      <c r="Y48" s="34" t="str">
        <f t="shared" si="10"/>
        <v/>
      </c>
    </row>
    <row r="49" spans="1:25" x14ac:dyDescent="0.2">
      <c r="A49" s="35"/>
      <c r="B49" s="21"/>
      <c r="C49" s="18"/>
      <c r="D49" s="21"/>
      <c r="E49" s="21"/>
      <c r="F49" s="21"/>
      <c r="G49" s="36"/>
      <c r="H49" s="36"/>
      <c r="I49" s="36"/>
      <c r="J49" s="37"/>
      <c r="K49" s="18"/>
      <c r="L49" s="28" t="str">
        <f t="shared" si="0"/>
        <v/>
      </c>
      <c r="M49" s="29" t="str">
        <f t="shared" si="1"/>
        <v/>
      </c>
      <c r="N49" s="29" t="str">
        <f t="shared" si="2"/>
        <v/>
      </c>
      <c r="O49" s="30" t="str">
        <f t="shared" si="3"/>
        <v/>
      </c>
      <c r="P49" s="28" t="str">
        <f>IF($C49="","",IFERROR(INDEX(CA_TG,MATCH(B49,DS_CA,0))-INDEX(CA_NGHI,MATCH(B49,DS_CA,0))-SUMIFS('3 Nhật ký dừng máy'!$I$6:$I$1005,'3 Nhật ký dừng máy'!$A$6:$A$1005,$A49,'3 Nhật ký dừng máy'!$B$6:$B$1005,$B49,'3 Nhật ký dừng máy'!$C$6:$C$1005,$C49,'3 Nhật ký dừng máy'!$K$6:$K$1005,"Có kế hoạch"),"?"))</f>
        <v/>
      </c>
      <c r="Q49" s="28" t="str">
        <f>IF($C49="","",SUMIFS('3 Nhật ký dừng máy'!$I$6:$I$1005,'3 Nhật ký dừng máy'!$A$6:$A$1005,$A49,'3 Nhật ký dừng máy'!$B$6:$B$1005,$B49,'3 Nhật ký dừng máy'!$C$6:$C$1005,$C49,'3 Nhật ký dừng máy'!$K$6:$K$1005,"Ngoài kế hoạch"))</f>
        <v/>
      </c>
      <c r="R49" s="30" t="str">
        <f>IF($C49="","",COUNTIFS('3 Nhật ký dừng máy'!$A$6:$A$1005,$A49,'3 Nhật ký dừng máy'!$B$6:$B$1005,$B49,'3 Nhật ký dừng máy'!$C$6:$C$1005,$C49,'3 Nhật ký dừng máy'!$K$6:$K$1005,"Ngoài kế hoạch"))</f>
        <v/>
      </c>
      <c r="S49" s="31" t="str">
        <f t="shared" si="4"/>
        <v/>
      </c>
      <c r="T49" s="31" t="str">
        <f t="shared" si="5"/>
        <v/>
      </c>
      <c r="U49" s="31" t="str">
        <f t="shared" si="6"/>
        <v/>
      </c>
      <c r="V49" s="32" t="str">
        <f t="shared" si="7"/>
        <v/>
      </c>
      <c r="W49" s="30" t="str">
        <f t="shared" si="8"/>
        <v/>
      </c>
      <c r="X49" s="33" t="str">
        <f t="shared" si="9"/>
        <v/>
      </c>
      <c r="Y49" s="34" t="str">
        <f t="shared" si="10"/>
        <v/>
      </c>
    </row>
    <row r="50" spans="1:25" x14ac:dyDescent="0.2">
      <c r="A50" s="35"/>
      <c r="B50" s="21"/>
      <c r="C50" s="18"/>
      <c r="D50" s="21"/>
      <c r="E50" s="21"/>
      <c r="F50" s="21"/>
      <c r="G50" s="36"/>
      <c r="H50" s="36"/>
      <c r="I50" s="36"/>
      <c r="J50" s="37"/>
      <c r="K50" s="18"/>
      <c r="L50" s="28" t="str">
        <f t="shared" si="0"/>
        <v/>
      </c>
      <c r="M50" s="29" t="str">
        <f t="shared" si="1"/>
        <v/>
      </c>
      <c r="N50" s="29" t="str">
        <f t="shared" si="2"/>
        <v/>
      </c>
      <c r="O50" s="30" t="str">
        <f t="shared" si="3"/>
        <v/>
      </c>
      <c r="P50" s="28" t="str">
        <f>IF($C50="","",IFERROR(INDEX(CA_TG,MATCH(B50,DS_CA,0))-INDEX(CA_NGHI,MATCH(B50,DS_CA,0))-SUMIFS('3 Nhật ký dừng máy'!$I$6:$I$1005,'3 Nhật ký dừng máy'!$A$6:$A$1005,$A50,'3 Nhật ký dừng máy'!$B$6:$B$1005,$B50,'3 Nhật ký dừng máy'!$C$6:$C$1005,$C50,'3 Nhật ký dừng máy'!$K$6:$K$1005,"Có kế hoạch"),"?"))</f>
        <v/>
      </c>
      <c r="Q50" s="28" t="str">
        <f>IF($C50="","",SUMIFS('3 Nhật ký dừng máy'!$I$6:$I$1005,'3 Nhật ký dừng máy'!$A$6:$A$1005,$A50,'3 Nhật ký dừng máy'!$B$6:$B$1005,$B50,'3 Nhật ký dừng máy'!$C$6:$C$1005,$C50,'3 Nhật ký dừng máy'!$K$6:$K$1005,"Ngoài kế hoạch"))</f>
        <v/>
      </c>
      <c r="R50" s="30" t="str">
        <f>IF($C50="","",COUNTIFS('3 Nhật ký dừng máy'!$A$6:$A$1005,$A50,'3 Nhật ký dừng máy'!$B$6:$B$1005,$B50,'3 Nhật ký dừng máy'!$C$6:$C$1005,$C50,'3 Nhật ký dừng máy'!$K$6:$K$1005,"Ngoài kế hoạch"))</f>
        <v/>
      </c>
      <c r="S50" s="31" t="str">
        <f t="shared" si="4"/>
        <v/>
      </c>
      <c r="T50" s="31" t="str">
        <f t="shared" si="5"/>
        <v/>
      </c>
      <c r="U50" s="31" t="str">
        <f t="shared" si="6"/>
        <v/>
      </c>
      <c r="V50" s="32" t="str">
        <f t="shared" si="7"/>
        <v/>
      </c>
      <c r="W50" s="30" t="str">
        <f t="shared" si="8"/>
        <v/>
      </c>
      <c r="X50" s="33" t="str">
        <f t="shared" si="9"/>
        <v/>
      </c>
      <c r="Y50" s="34" t="str">
        <f t="shared" si="10"/>
        <v/>
      </c>
    </row>
    <row r="51" spans="1:25" x14ac:dyDescent="0.2">
      <c r="A51" s="35"/>
      <c r="B51" s="21"/>
      <c r="C51" s="18"/>
      <c r="D51" s="21"/>
      <c r="E51" s="21"/>
      <c r="F51" s="21"/>
      <c r="G51" s="36"/>
      <c r="H51" s="36"/>
      <c r="I51" s="36"/>
      <c r="J51" s="37"/>
      <c r="K51" s="18"/>
      <c r="L51" s="28" t="str">
        <f t="shared" si="0"/>
        <v/>
      </c>
      <c r="M51" s="29" t="str">
        <f t="shared" si="1"/>
        <v/>
      </c>
      <c r="N51" s="29" t="str">
        <f t="shared" si="2"/>
        <v/>
      </c>
      <c r="O51" s="30" t="str">
        <f t="shared" si="3"/>
        <v/>
      </c>
      <c r="P51" s="28" t="str">
        <f>IF($C51="","",IFERROR(INDEX(CA_TG,MATCH(B51,DS_CA,0))-INDEX(CA_NGHI,MATCH(B51,DS_CA,0))-SUMIFS('3 Nhật ký dừng máy'!$I$6:$I$1005,'3 Nhật ký dừng máy'!$A$6:$A$1005,$A51,'3 Nhật ký dừng máy'!$B$6:$B$1005,$B51,'3 Nhật ký dừng máy'!$C$6:$C$1005,$C51,'3 Nhật ký dừng máy'!$K$6:$K$1005,"Có kế hoạch"),"?"))</f>
        <v/>
      </c>
      <c r="Q51" s="28" t="str">
        <f>IF($C51="","",SUMIFS('3 Nhật ký dừng máy'!$I$6:$I$1005,'3 Nhật ký dừng máy'!$A$6:$A$1005,$A51,'3 Nhật ký dừng máy'!$B$6:$B$1005,$B51,'3 Nhật ký dừng máy'!$C$6:$C$1005,$C51,'3 Nhật ký dừng máy'!$K$6:$K$1005,"Ngoài kế hoạch"))</f>
        <v/>
      </c>
      <c r="R51" s="30" t="str">
        <f>IF($C51="","",COUNTIFS('3 Nhật ký dừng máy'!$A$6:$A$1005,$A51,'3 Nhật ký dừng máy'!$B$6:$B$1005,$B51,'3 Nhật ký dừng máy'!$C$6:$C$1005,$C51,'3 Nhật ký dừng máy'!$K$6:$K$1005,"Ngoài kế hoạch"))</f>
        <v/>
      </c>
      <c r="S51" s="31" t="str">
        <f t="shared" si="4"/>
        <v/>
      </c>
      <c r="T51" s="31" t="str">
        <f t="shared" si="5"/>
        <v/>
      </c>
      <c r="U51" s="31" t="str">
        <f t="shared" si="6"/>
        <v/>
      </c>
      <c r="V51" s="32" t="str">
        <f t="shared" si="7"/>
        <v/>
      </c>
      <c r="W51" s="30" t="str">
        <f t="shared" si="8"/>
        <v/>
      </c>
      <c r="X51" s="33" t="str">
        <f t="shared" si="9"/>
        <v/>
      </c>
      <c r="Y51" s="34" t="str">
        <f t="shared" si="10"/>
        <v/>
      </c>
    </row>
    <row r="52" spans="1:25" x14ac:dyDescent="0.2">
      <c r="A52" s="35"/>
      <c r="B52" s="21"/>
      <c r="C52" s="18"/>
      <c r="D52" s="21"/>
      <c r="E52" s="21"/>
      <c r="F52" s="21"/>
      <c r="G52" s="36"/>
      <c r="H52" s="36"/>
      <c r="I52" s="36"/>
      <c r="J52" s="37"/>
      <c r="K52" s="18"/>
      <c r="L52" s="28" t="str">
        <f t="shared" si="0"/>
        <v/>
      </c>
      <c r="M52" s="29" t="str">
        <f t="shared" si="1"/>
        <v/>
      </c>
      <c r="N52" s="29" t="str">
        <f t="shared" si="2"/>
        <v/>
      </c>
      <c r="O52" s="30" t="str">
        <f t="shared" si="3"/>
        <v/>
      </c>
      <c r="P52" s="28" t="str">
        <f>IF($C52="","",IFERROR(INDEX(CA_TG,MATCH(B52,DS_CA,0))-INDEX(CA_NGHI,MATCH(B52,DS_CA,0))-SUMIFS('3 Nhật ký dừng máy'!$I$6:$I$1005,'3 Nhật ký dừng máy'!$A$6:$A$1005,$A52,'3 Nhật ký dừng máy'!$B$6:$B$1005,$B52,'3 Nhật ký dừng máy'!$C$6:$C$1005,$C52,'3 Nhật ký dừng máy'!$K$6:$K$1005,"Có kế hoạch"),"?"))</f>
        <v/>
      </c>
      <c r="Q52" s="28" t="str">
        <f>IF($C52="","",SUMIFS('3 Nhật ký dừng máy'!$I$6:$I$1005,'3 Nhật ký dừng máy'!$A$6:$A$1005,$A52,'3 Nhật ký dừng máy'!$B$6:$B$1005,$B52,'3 Nhật ký dừng máy'!$C$6:$C$1005,$C52,'3 Nhật ký dừng máy'!$K$6:$K$1005,"Ngoài kế hoạch"))</f>
        <v/>
      </c>
      <c r="R52" s="30" t="str">
        <f>IF($C52="","",COUNTIFS('3 Nhật ký dừng máy'!$A$6:$A$1005,$A52,'3 Nhật ký dừng máy'!$B$6:$B$1005,$B52,'3 Nhật ký dừng máy'!$C$6:$C$1005,$C52,'3 Nhật ký dừng máy'!$K$6:$K$1005,"Ngoài kế hoạch"))</f>
        <v/>
      </c>
      <c r="S52" s="31" t="str">
        <f t="shared" si="4"/>
        <v/>
      </c>
      <c r="T52" s="31" t="str">
        <f t="shared" si="5"/>
        <v/>
      </c>
      <c r="U52" s="31" t="str">
        <f t="shared" si="6"/>
        <v/>
      </c>
      <c r="V52" s="32" t="str">
        <f t="shared" si="7"/>
        <v/>
      </c>
      <c r="W52" s="30" t="str">
        <f t="shared" si="8"/>
        <v/>
      </c>
      <c r="X52" s="33" t="str">
        <f t="shared" si="9"/>
        <v/>
      </c>
      <c r="Y52" s="34" t="str">
        <f t="shared" si="10"/>
        <v/>
      </c>
    </row>
    <row r="53" spans="1:25" x14ac:dyDescent="0.2">
      <c r="A53" s="35"/>
      <c r="B53" s="21"/>
      <c r="C53" s="18"/>
      <c r="D53" s="21"/>
      <c r="E53" s="21"/>
      <c r="F53" s="21"/>
      <c r="G53" s="36"/>
      <c r="H53" s="36"/>
      <c r="I53" s="36"/>
      <c r="J53" s="37"/>
      <c r="K53" s="18"/>
      <c r="L53" s="28" t="str">
        <f t="shared" si="0"/>
        <v/>
      </c>
      <c r="M53" s="29" t="str">
        <f t="shared" si="1"/>
        <v/>
      </c>
      <c r="N53" s="29" t="str">
        <f t="shared" si="2"/>
        <v/>
      </c>
      <c r="O53" s="30" t="str">
        <f t="shared" si="3"/>
        <v/>
      </c>
      <c r="P53" s="28" t="str">
        <f>IF($C53="","",IFERROR(INDEX(CA_TG,MATCH(B53,DS_CA,0))-INDEX(CA_NGHI,MATCH(B53,DS_CA,0))-SUMIFS('3 Nhật ký dừng máy'!$I$6:$I$1005,'3 Nhật ký dừng máy'!$A$6:$A$1005,$A53,'3 Nhật ký dừng máy'!$B$6:$B$1005,$B53,'3 Nhật ký dừng máy'!$C$6:$C$1005,$C53,'3 Nhật ký dừng máy'!$K$6:$K$1005,"Có kế hoạch"),"?"))</f>
        <v/>
      </c>
      <c r="Q53" s="28" t="str">
        <f>IF($C53="","",SUMIFS('3 Nhật ký dừng máy'!$I$6:$I$1005,'3 Nhật ký dừng máy'!$A$6:$A$1005,$A53,'3 Nhật ký dừng máy'!$B$6:$B$1005,$B53,'3 Nhật ký dừng máy'!$C$6:$C$1005,$C53,'3 Nhật ký dừng máy'!$K$6:$K$1005,"Ngoài kế hoạch"))</f>
        <v/>
      </c>
      <c r="R53" s="30" t="str">
        <f>IF($C53="","",COUNTIFS('3 Nhật ký dừng máy'!$A$6:$A$1005,$A53,'3 Nhật ký dừng máy'!$B$6:$B$1005,$B53,'3 Nhật ký dừng máy'!$C$6:$C$1005,$C53,'3 Nhật ký dừng máy'!$K$6:$K$1005,"Ngoài kế hoạch"))</f>
        <v/>
      </c>
      <c r="S53" s="31" t="str">
        <f t="shared" si="4"/>
        <v/>
      </c>
      <c r="T53" s="31" t="str">
        <f t="shared" si="5"/>
        <v/>
      </c>
      <c r="U53" s="31" t="str">
        <f t="shared" si="6"/>
        <v/>
      </c>
      <c r="V53" s="32" t="str">
        <f t="shared" si="7"/>
        <v/>
      </c>
      <c r="W53" s="30" t="str">
        <f t="shared" si="8"/>
        <v/>
      </c>
      <c r="X53" s="33" t="str">
        <f t="shared" si="9"/>
        <v/>
      </c>
      <c r="Y53" s="34" t="str">
        <f t="shared" si="10"/>
        <v/>
      </c>
    </row>
    <row r="54" spans="1:25" x14ac:dyDescent="0.2">
      <c r="A54" s="35"/>
      <c r="B54" s="21"/>
      <c r="C54" s="18"/>
      <c r="D54" s="21"/>
      <c r="E54" s="21"/>
      <c r="F54" s="21"/>
      <c r="G54" s="36"/>
      <c r="H54" s="36"/>
      <c r="I54" s="36"/>
      <c r="J54" s="37"/>
      <c r="K54" s="18"/>
      <c r="L54" s="28" t="str">
        <f t="shared" si="0"/>
        <v/>
      </c>
      <c r="M54" s="29" t="str">
        <f t="shared" si="1"/>
        <v/>
      </c>
      <c r="N54" s="29" t="str">
        <f t="shared" si="2"/>
        <v/>
      </c>
      <c r="O54" s="30" t="str">
        <f t="shared" si="3"/>
        <v/>
      </c>
      <c r="P54" s="28" t="str">
        <f>IF($C54="","",IFERROR(INDEX(CA_TG,MATCH(B54,DS_CA,0))-INDEX(CA_NGHI,MATCH(B54,DS_CA,0))-SUMIFS('3 Nhật ký dừng máy'!$I$6:$I$1005,'3 Nhật ký dừng máy'!$A$6:$A$1005,$A54,'3 Nhật ký dừng máy'!$B$6:$B$1005,$B54,'3 Nhật ký dừng máy'!$C$6:$C$1005,$C54,'3 Nhật ký dừng máy'!$K$6:$K$1005,"Có kế hoạch"),"?"))</f>
        <v/>
      </c>
      <c r="Q54" s="28" t="str">
        <f>IF($C54="","",SUMIFS('3 Nhật ký dừng máy'!$I$6:$I$1005,'3 Nhật ký dừng máy'!$A$6:$A$1005,$A54,'3 Nhật ký dừng máy'!$B$6:$B$1005,$B54,'3 Nhật ký dừng máy'!$C$6:$C$1005,$C54,'3 Nhật ký dừng máy'!$K$6:$K$1005,"Ngoài kế hoạch"))</f>
        <v/>
      </c>
      <c r="R54" s="30" t="str">
        <f>IF($C54="","",COUNTIFS('3 Nhật ký dừng máy'!$A$6:$A$1005,$A54,'3 Nhật ký dừng máy'!$B$6:$B$1005,$B54,'3 Nhật ký dừng máy'!$C$6:$C$1005,$C54,'3 Nhật ký dừng máy'!$K$6:$K$1005,"Ngoài kế hoạch"))</f>
        <v/>
      </c>
      <c r="S54" s="31" t="str">
        <f t="shared" si="4"/>
        <v/>
      </c>
      <c r="T54" s="31" t="str">
        <f t="shared" si="5"/>
        <v/>
      </c>
      <c r="U54" s="31" t="str">
        <f t="shared" si="6"/>
        <v/>
      </c>
      <c r="V54" s="32" t="str">
        <f t="shared" si="7"/>
        <v/>
      </c>
      <c r="W54" s="30" t="str">
        <f t="shared" si="8"/>
        <v/>
      </c>
      <c r="X54" s="33" t="str">
        <f t="shared" si="9"/>
        <v/>
      </c>
      <c r="Y54" s="34" t="str">
        <f t="shared" si="10"/>
        <v/>
      </c>
    </row>
    <row r="55" spans="1:25" x14ac:dyDescent="0.2">
      <c r="A55" s="35"/>
      <c r="B55" s="21"/>
      <c r="C55" s="18"/>
      <c r="D55" s="21"/>
      <c r="E55" s="21"/>
      <c r="F55" s="21"/>
      <c r="G55" s="36"/>
      <c r="H55" s="36"/>
      <c r="I55" s="36"/>
      <c r="J55" s="37"/>
      <c r="K55" s="18"/>
      <c r="L55" s="28" t="str">
        <f t="shared" si="0"/>
        <v/>
      </c>
      <c r="M55" s="29" t="str">
        <f t="shared" si="1"/>
        <v/>
      </c>
      <c r="N55" s="29" t="str">
        <f t="shared" si="2"/>
        <v/>
      </c>
      <c r="O55" s="30" t="str">
        <f t="shared" si="3"/>
        <v/>
      </c>
      <c r="P55" s="28" t="str">
        <f>IF($C55="","",IFERROR(INDEX(CA_TG,MATCH(B55,DS_CA,0))-INDEX(CA_NGHI,MATCH(B55,DS_CA,0))-SUMIFS('3 Nhật ký dừng máy'!$I$6:$I$1005,'3 Nhật ký dừng máy'!$A$6:$A$1005,$A55,'3 Nhật ký dừng máy'!$B$6:$B$1005,$B55,'3 Nhật ký dừng máy'!$C$6:$C$1005,$C55,'3 Nhật ký dừng máy'!$K$6:$K$1005,"Có kế hoạch"),"?"))</f>
        <v/>
      </c>
      <c r="Q55" s="28" t="str">
        <f>IF($C55="","",SUMIFS('3 Nhật ký dừng máy'!$I$6:$I$1005,'3 Nhật ký dừng máy'!$A$6:$A$1005,$A55,'3 Nhật ký dừng máy'!$B$6:$B$1005,$B55,'3 Nhật ký dừng máy'!$C$6:$C$1005,$C55,'3 Nhật ký dừng máy'!$K$6:$K$1005,"Ngoài kế hoạch"))</f>
        <v/>
      </c>
      <c r="R55" s="30" t="str">
        <f>IF($C55="","",COUNTIFS('3 Nhật ký dừng máy'!$A$6:$A$1005,$A55,'3 Nhật ký dừng máy'!$B$6:$B$1005,$B55,'3 Nhật ký dừng máy'!$C$6:$C$1005,$C55,'3 Nhật ký dừng máy'!$K$6:$K$1005,"Ngoài kế hoạch"))</f>
        <v/>
      </c>
      <c r="S55" s="31" t="str">
        <f t="shared" si="4"/>
        <v/>
      </c>
      <c r="T55" s="31" t="str">
        <f t="shared" si="5"/>
        <v/>
      </c>
      <c r="U55" s="31" t="str">
        <f t="shared" si="6"/>
        <v/>
      </c>
      <c r="V55" s="32" t="str">
        <f t="shared" si="7"/>
        <v/>
      </c>
      <c r="W55" s="30" t="str">
        <f t="shared" si="8"/>
        <v/>
      </c>
      <c r="X55" s="33" t="str">
        <f t="shared" si="9"/>
        <v/>
      </c>
      <c r="Y55" s="34" t="str">
        <f t="shared" si="10"/>
        <v/>
      </c>
    </row>
    <row r="56" spans="1:25" x14ac:dyDescent="0.2">
      <c r="A56" s="35"/>
      <c r="B56" s="21"/>
      <c r="C56" s="18"/>
      <c r="D56" s="21"/>
      <c r="E56" s="21"/>
      <c r="F56" s="21"/>
      <c r="G56" s="36"/>
      <c r="H56" s="36"/>
      <c r="I56" s="36"/>
      <c r="J56" s="37"/>
      <c r="K56" s="18"/>
      <c r="L56" s="28" t="str">
        <f t="shared" si="0"/>
        <v/>
      </c>
      <c r="M56" s="29" t="str">
        <f t="shared" si="1"/>
        <v/>
      </c>
      <c r="N56" s="29" t="str">
        <f t="shared" si="2"/>
        <v/>
      </c>
      <c r="O56" s="30" t="str">
        <f t="shared" si="3"/>
        <v/>
      </c>
      <c r="P56" s="28" t="str">
        <f>IF($C56="","",IFERROR(INDEX(CA_TG,MATCH(B56,DS_CA,0))-INDEX(CA_NGHI,MATCH(B56,DS_CA,0))-SUMIFS('3 Nhật ký dừng máy'!$I$6:$I$1005,'3 Nhật ký dừng máy'!$A$6:$A$1005,$A56,'3 Nhật ký dừng máy'!$B$6:$B$1005,$B56,'3 Nhật ký dừng máy'!$C$6:$C$1005,$C56,'3 Nhật ký dừng máy'!$K$6:$K$1005,"Có kế hoạch"),"?"))</f>
        <v/>
      </c>
      <c r="Q56" s="28" t="str">
        <f>IF($C56="","",SUMIFS('3 Nhật ký dừng máy'!$I$6:$I$1005,'3 Nhật ký dừng máy'!$A$6:$A$1005,$A56,'3 Nhật ký dừng máy'!$B$6:$B$1005,$B56,'3 Nhật ký dừng máy'!$C$6:$C$1005,$C56,'3 Nhật ký dừng máy'!$K$6:$K$1005,"Ngoài kế hoạch"))</f>
        <v/>
      </c>
      <c r="R56" s="30" t="str">
        <f>IF($C56="","",COUNTIFS('3 Nhật ký dừng máy'!$A$6:$A$1005,$A56,'3 Nhật ký dừng máy'!$B$6:$B$1005,$B56,'3 Nhật ký dừng máy'!$C$6:$C$1005,$C56,'3 Nhật ký dừng máy'!$K$6:$K$1005,"Ngoài kế hoạch"))</f>
        <v/>
      </c>
      <c r="S56" s="31" t="str">
        <f t="shared" si="4"/>
        <v/>
      </c>
      <c r="T56" s="31" t="str">
        <f t="shared" si="5"/>
        <v/>
      </c>
      <c r="U56" s="31" t="str">
        <f t="shared" si="6"/>
        <v/>
      </c>
      <c r="V56" s="32" t="str">
        <f t="shared" si="7"/>
        <v/>
      </c>
      <c r="W56" s="30" t="str">
        <f t="shared" si="8"/>
        <v/>
      </c>
      <c r="X56" s="33" t="str">
        <f t="shared" si="9"/>
        <v/>
      </c>
      <c r="Y56" s="34" t="str">
        <f t="shared" si="10"/>
        <v/>
      </c>
    </row>
    <row r="57" spans="1:25" x14ac:dyDescent="0.2">
      <c r="A57" s="35"/>
      <c r="B57" s="21"/>
      <c r="C57" s="18"/>
      <c r="D57" s="21"/>
      <c r="E57" s="21"/>
      <c r="F57" s="21"/>
      <c r="G57" s="36"/>
      <c r="H57" s="36"/>
      <c r="I57" s="36"/>
      <c r="J57" s="37"/>
      <c r="K57" s="18"/>
      <c r="L57" s="28" t="str">
        <f t="shared" si="0"/>
        <v/>
      </c>
      <c r="M57" s="29" t="str">
        <f t="shared" si="1"/>
        <v/>
      </c>
      <c r="N57" s="29" t="str">
        <f t="shared" si="2"/>
        <v/>
      </c>
      <c r="O57" s="30" t="str">
        <f t="shared" si="3"/>
        <v/>
      </c>
      <c r="P57" s="28" t="str">
        <f>IF($C57="","",IFERROR(INDEX(CA_TG,MATCH(B57,DS_CA,0))-INDEX(CA_NGHI,MATCH(B57,DS_CA,0))-SUMIFS('3 Nhật ký dừng máy'!$I$6:$I$1005,'3 Nhật ký dừng máy'!$A$6:$A$1005,$A57,'3 Nhật ký dừng máy'!$B$6:$B$1005,$B57,'3 Nhật ký dừng máy'!$C$6:$C$1005,$C57,'3 Nhật ký dừng máy'!$K$6:$K$1005,"Có kế hoạch"),"?"))</f>
        <v/>
      </c>
      <c r="Q57" s="28" t="str">
        <f>IF($C57="","",SUMIFS('3 Nhật ký dừng máy'!$I$6:$I$1005,'3 Nhật ký dừng máy'!$A$6:$A$1005,$A57,'3 Nhật ký dừng máy'!$B$6:$B$1005,$B57,'3 Nhật ký dừng máy'!$C$6:$C$1005,$C57,'3 Nhật ký dừng máy'!$K$6:$K$1005,"Ngoài kế hoạch"))</f>
        <v/>
      </c>
      <c r="R57" s="30" t="str">
        <f>IF($C57="","",COUNTIFS('3 Nhật ký dừng máy'!$A$6:$A$1005,$A57,'3 Nhật ký dừng máy'!$B$6:$B$1005,$B57,'3 Nhật ký dừng máy'!$C$6:$C$1005,$C57,'3 Nhật ký dừng máy'!$K$6:$K$1005,"Ngoài kế hoạch"))</f>
        <v/>
      </c>
      <c r="S57" s="31" t="str">
        <f t="shared" si="4"/>
        <v/>
      </c>
      <c r="T57" s="31" t="str">
        <f t="shared" si="5"/>
        <v/>
      </c>
      <c r="U57" s="31" t="str">
        <f t="shared" si="6"/>
        <v/>
      </c>
      <c r="V57" s="32" t="str">
        <f t="shared" si="7"/>
        <v/>
      </c>
      <c r="W57" s="30" t="str">
        <f t="shared" si="8"/>
        <v/>
      </c>
      <c r="X57" s="33" t="str">
        <f t="shared" si="9"/>
        <v/>
      </c>
      <c r="Y57" s="34" t="str">
        <f t="shared" si="10"/>
        <v/>
      </c>
    </row>
    <row r="58" spans="1:25" x14ac:dyDescent="0.2">
      <c r="A58" s="35"/>
      <c r="B58" s="21"/>
      <c r="C58" s="18"/>
      <c r="D58" s="21"/>
      <c r="E58" s="21"/>
      <c r="F58" s="21"/>
      <c r="G58" s="36"/>
      <c r="H58" s="36"/>
      <c r="I58" s="36"/>
      <c r="J58" s="37"/>
      <c r="K58" s="18"/>
      <c r="L58" s="28" t="str">
        <f t="shared" si="0"/>
        <v/>
      </c>
      <c r="M58" s="29" t="str">
        <f t="shared" si="1"/>
        <v/>
      </c>
      <c r="N58" s="29" t="str">
        <f t="shared" si="2"/>
        <v/>
      </c>
      <c r="O58" s="30" t="str">
        <f t="shared" si="3"/>
        <v/>
      </c>
      <c r="P58" s="28" t="str">
        <f>IF($C58="","",IFERROR(INDEX(CA_TG,MATCH(B58,DS_CA,0))-INDEX(CA_NGHI,MATCH(B58,DS_CA,0))-SUMIFS('3 Nhật ký dừng máy'!$I$6:$I$1005,'3 Nhật ký dừng máy'!$A$6:$A$1005,$A58,'3 Nhật ký dừng máy'!$B$6:$B$1005,$B58,'3 Nhật ký dừng máy'!$C$6:$C$1005,$C58,'3 Nhật ký dừng máy'!$K$6:$K$1005,"Có kế hoạch"),"?"))</f>
        <v/>
      </c>
      <c r="Q58" s="28" t="str">
        <f>IF($C58="","",SUMIFS('3 Nhật ký dừng máy'!$I$6:$I$1005,'3 Nhật ký dừng máy'!$A$6:$A$1005,$A58,'3 Nhật ký dừng máy'!$B$6:$B$1005,$B58,'3 Nhật ký dừng máy'!$C$6:$C$1005,$C58,'3 Nhật ký dừng máy'!$K$6:$K$1005,"Ngoài kế hoạch"))</f>
        <v/>
      </c>
      <c r="R58" s="30" t="str">
        <f>IF($C58="","",COUNTIFS('3 Nhật ký dừng máy'!$A$6:$A$1005,$A58,'3 Nhật ký dừng máy'!$B$6:$B$1005,$B58,'3 Nhật ký dừng máy'!$C$6:$C$1005,$C58,'3 Nhật ký dừng máy'!$K$6:$K$1005,"Ngoài kế hoạch"))</f>
        <v/>
      </c>
      <c r="S58" s="31" t="str">
        <f t="shared" si="4"/>
        <v/>
      </c>
      <c r="T58" s="31" t="str">
        <f t="shared" si="5"/>
        <v/>
      </c>
      <c r="U58" s="31" t="str">
        <f t="shared" si="6"/>
        <v/>
      </c>
      <c r="V58" s="32" t="str">
        <f t="shared" si="7"/>
        <v/>
      </c>
      <c r="W58" s="30" t="str">
        <f t="shared" si="8"/>
        <v/>
      </c>
      <c r="X58" s="33" t="str">
        <f t="shared" si="9"/>
        <v/>
      </c>
      <c r="Y58" s="34" t="str">
        <f t="shared" si="10"/>
        <v/>
      </c>
    </row>
    <row r="59" spans="1:25" x14ac:dyDescent="0.2">
      <c r="A59" s="35"/>
      <c r="B59" s="21"/>
      <c r="C59" s="18"/>
      <c r="D59" s="21"/>
      <c r="E59" s="21"/>
      <c r="F59" s="21"/>
      <c r="G59" s="36"/>
      <c r="H59" s="36"/>
      <c r="I59" s="36"/>
      <c r="J59" s="37"/>
      <c r="K59" s="18"/>
      <c r="L59" s="28" t="str">
        <f t="shared" si="0"/>
        <v/>
      </c>
      <c r="M59" s="29" t="str">
        <f t="shared" si="1"/>
        <v/>
      </c>
      <c r="N59" s="29" t="str">
        <f t="shared" si="2"/>
        <v/>
      </c>
      <c r="O59" s="30" t="str">
        <f t="shared" si="3"/>
        <v/>
      </c>
      <c r="P59" s="28" t="str">
        <f>IF($C59="","",IFERROR(INDEX(CA_TG,MATCH(B59,DS_CA,0))-INDEX(CA_NGHI,MATCH(B59,DS_CA,0))-SUMIFS('3 Nhật ký dừng máy'!$I$6:$I$1005,'3 Nhật ký dừng máy'!$A$6:$A$1005,$A59,'3 Nhật ký dừng máy'!$B$6:$B$1005,$B59,'3 Nhật ký dừng máy'!$C$6:$C$1005,$C59,'3 Nhật ký dừng máy'!$K$6:$K$1005,"Có kế hoạch"),"?"))</f>
        <v/>
      </c>
      <c r="Q59" s="28" t="str">
        <f>IF($C59="","",SUMIFS('3 Nhật ký dừng máy'!$I$6:$I$1005,'3 Nhật ký dừng máy'!$A$6:$A$1005,$A59,'3 Nhật ký dừng máy'!$B$6:$B$1005,$B59,'3 Nhật ký dừng máy'!$C$6:$C$1005,$C59,'3 Nhật ký dừng máy'!$K$6:$K$1005,"Ngoài kế hoạch"))</f>
        <v/>
      </c>
      <c r="R59" s="30" t="str">
        <f>IF($C59="","",COUNTIFS('3 Nhật ký dừng máy'!$A$6:$A$1005,$A59,'3 Nhật ký dừng máy'!$B$6:$B$1005,$B59,'3 Nhật ký dừng máy'!$C$6:$C$1005,$C59,'3 Nhật ký dừng máy'!$K$6:$K$1005,"Ngoài kế hoạch"))</f>
        <v/>
      </c>
      <c r="S59" s="31" t="str">
        <f t="shared" si="4"/>
        <v/>
      </c>
      <c r="T59" s="31" t="str">
        <f t="shared" si="5"/>
        <v/>
      </c>
      <c r="U59" s="31" t="str">
        <f t="shared" si="6"/>
        <v/>
      </c>
      <c r="V59" s="32" t="str">
        <f t="shared" si="7"/>
        <v/>
      </c>
      <c r="W59" s="30" t="str">
        <f t="shared" si="8"/>
        <v/>
      </c>
      <c r="X59" s="33" t="str">
        <f t="shared" si="9"/>
        <v/>
      </c>
      <c r="Y59" s="34" t="str">
        <f t="shared" si="10"/>
        <v/>
      </c>
    </row>
    <row r="60" spans="1:25" x14ac:dyDescent="0.2">
      <c r="A60" s="35"/>
      <c r="B60" s="21"/>
      <c r="C60" s="18"/>
      <c r="D60" s="21"/>
      <c r="E60" s="21"/>
      <c r="F60" s="21"/>
      <c r="G60" s="36"/>
      <c r="H60" s="36"/>
      <c r="I60" s="36"/>
      <c r="J60" s="37"/>
      <c r="K60" s="18"/>
      <c r="L60" s="28" t="str">
        <f t="shared" si="0"/>
        <v/>
      </c>
      <c r="M60" s="29" t="str">
        <f t="shared" si="1"/>
        <v/>
      </c>
      <c r="N60" s="29" t="str">
        <f t="shared" si="2"/>
        <v/>
      </c>
      <c r="O60" s="30" t="str">
        <f t="shared" si="3"/>
        <v/>
      </c>
      <c r="P60" s="28" t="str">
        <f>IF($C60="","",IFERROR(INDEX(CA_TG,MATCH(B60,DS_CA,0))-INDEX(CA_NGHI,MATCH(B60,DS_CA,0))-SUMIFS('3 Nhật ký dừng máy'!$I$6:$I$1005,'3 Nhật ký dừng máy'!$A$6:$A$1005,$A60,'3 Nhật ký dừng máy'!$B$6:$B$1005,$B60,'3 Nhật ký dừng máy'!$C$6:$C$1005,$C60,'3 Nhật ký dừng máy'!$K$6:$K$1005,"Có kế hoạch"),"?"))</f>
        <v/>
      </c>
      <c r="Q60" s="28" t="str">
        <f>IF($C60="","",SUMIFS('3 Nhật ký dừng máy'!$I$6:$I$1005,'3 Nhật ký dừng máy'!$A$6:$A$1005,$A60,'3 Nhật ký dừng máy'!$B$6:$B$1005,$B60,'3 Nhật ký dừng máy'!$C$6:$C$1005,$C60,'3 Nhật ký dừng máy'!$K$6:$K$1005,"Ngoài kế hoạch"))</f>
        <v/>
      </c>
      <c r="R60" s="30" t="str">
        <f>IF($C60="","",COUNTIFS('3 Nhật ký dừng máy'!$A$6:$A$1005,$A60,'3 Nhật ký dừng máy'!$B$6:$B$1005,$B60,'3 Nhật ký dừng máy'!$C$6:$C$1005,$C60,'3 Nhật ký dừng máy'!$K$6:$K$1005,"Ngoài kế hoạch"))</f>
        <v/>
      </c>
      <c r="S60" s="31" t="str">
        <f t="shared" si="4"/>
        <v/>
      </c>
      <c r="T60" s="31" t="str">
        <f t="shared" si="5"/>
        <v/>
      </c>
      <c r="U60" s="31" t="str">
        <f t="shared" si="6"/>
        <v/>
      </c>
      <c r="V60" s="32" t="str">
        <f t="shared" si="7"/>
        <v/>
      </c>
      <c r="W60" s="30" t="str">
        <f t="shared" si="8"/>
        <v/>
      </c>
      <c r="X60" s="33" t="str">
        <f t="shared" si="9"/>
        <v/>
      </c>
      <c r="Y60" s="34" t="str">
        <f t="shared" si="10"/>
        <v/>
      </c>
    </row>
    <row r="61" spans="1:25" x14ac:dyDescent="0.2">
      <c r="A61" s="35"/>
      <c r="B61" s="21"/>
      <c r="C61" s="18"/>
      <c r="D61" s="21"/>
      <c r="E61" s="21"/>
      <c r="F61" s="21"/>
      <c r="G61" s="36"/>
      <c r="H61" s="36"/>
      <c r="I61" s="36"/>
      <c r="J61" s="37"/>
      <c r="K61" s="18"/>
      <c r="L61" s="28" t="str">
        <f t="shared" si="0"/>
        <v/>
      </c>
      <c r="M61" s="29" t="str">
        <f t="shared" si="1"/>
        <v/>
      </c>
      <c r="N61" s="29" t="str">
        <f t="shared" si="2"/>
        <v/>
      </c>
      <c r="O61" s="30" t="str">
        <f t="shared" si="3"/>
        <v/>
      </c>
      <c r="P61" s="28" t="str">
        <f>IF($C61="","",IFERROR(INDEX(CA_TG,MATCH(B61,DS_CA,0))-INDEX(CA_NGHI,MATCH(B61,DS_CA,0))-SUMIFS('3 Nhật ký dừng máy'!$I$6:$I$1005,'3 Nhật ký dừng máy'!$A$6:$A$1005,$A61,'3 Nhật ký dừng máy'!$B$6:$B$1005,$B61,'3 Nhật ký dừng máy'!$C$6:$C$1005,$C61,'3 Nhật ký dừng máy'!$K$6:$K$1005,"Có kế hoạch"),"?"))</f>
        <v/>
      </c>
      <c r="Q61" s="28" t="str">
        <f>IF($C61="","",SUMIFS('3 Nhật ký dừng máy'!$I$6:$I$1005,'3 Nhật ký dừng máy'!$A$6:$A$1005,$A61,'3 Nhật ký dừng máy'!$B$6:$B$1005,$B61,'3 Nhật ký dừng máy'!$C$6:$C$1005,$C61,'3 Nhật ký dừng máy'!$K$6:$K$1005,"Ngoài kế hoạch"))</f>
        <v/>
      </c>
      <c r="R61" s="30" t="str">
        <f>IF($C61="","",COUNTIFS('3 Nhật ký dừng máy'!$A$6:$A$1005,$A61,'3 Nhật ký dừng máy'!$B$6:$B$1005,$B61,'3 Nhật ký dừng máy'!$C$6:$C$1005,$C61,'3 Nhật ký dừng máy'!$K$6:$K$1005,"Ngoài kế hoạch"))</f>
        <v/>
      </c>
      <c r="S61" s="31" t="str">
        <f t="shared" si="4"/>
        <v/>
      </c>
      <c r="T61" s="31" t="str">
        <f t="shared" si="5"/>
        <v/>
      </c>
      <c r="U61" s="31" t="str">
        <f t="shared" si="6"/>
        <v/>
      </c>
      <c r="V61" s="32" t="str">
        <f t="shared" si="7"/>
        <v/>
      </c>
      <c r="W61" s="30" t="str">
        <f t="shared" si="8"/>
        <v/>
      </c>
      <c r="X61" s="33" t="str">
        <f t="shared" si="9"/>
        <v/>
      </c>
      <c r="Y61" s="34" t="str">
        <f t="shared" si="10"/>
        <v/>
      </c>
    </row>
    <row r="62" spans="1:25" x14ac:dyDescent="0.2">
      <c r="A62" s="35"/>
      <c r="B62" s="21"/>
      <c r="C62" s="18"/>
      <c r="D62" s="21"/>
      <c r="E62" s="21"/>
      <c r="F62" s="21"/>
      <c r="G62" s="36"/>
      <c r="H62" s="36"/>
      <c r="I62" s="36"/>
      <c r="J62" s="37"/>
      <c r="K62" s="18"/>
      <c r="L62" s="28" t="str">
        <f t="shared" si="0"/>
        <v/>
      </c>
      <c r="M62" s="29" t="str">
        <f t="shared" si="1"/>
        <v/>
      </c>
      <c r="N62" s="29" t="str">
        <f t="shared" si="2"/>
        <v/>
      </c>
      <c r="O62" s="30" t="str">
        <f t="shared" si="3"/>
        <v/>
      </c>
      <c r="P62" s="28" t="str">
        <f>IF($C62="","",IFERROR(INDEX(CA_TG,MATCH(B62,DS_CA,0))-INDEX(CA_NGHI,MATCH(B62,DS_CA,0))-SUMIFS('3 Nhật ký dừng máy'!$I$6:$I$1005,'3 Nhật ký dừng máy'!$A$6:$A$1005,$A62,'3 Nhật ký dừng máy'!$B$6:$B$1005,$B62,'3 Nhật ký dừng máy'!$C$6:$C$1005,$C62,'3 Nhật ký dừng máy'!$K$6:$K$1005,"Có kế hoạch"),"?"))</f>
        <v/>
      </c>
      <c r="Q62" s="28" t="str">
        <f>IF($C62="","",SUMIFS('3 Nhật ký dừng máy'!$I$6:$I$1005,'3 Nhật ký dừng máy'!$A$6:$A$1005,$A62,'3 Nhật ký dừng máy'!$B$6:$B$1005,$B62,'3 Nhật ký dừng máy'!$C$6:$C$1005,$C62,'3 Nhật ký dừng máy'!$K$6:$K$1005,"Ngoài kế hoạch"))</f>
        <v/>
      </c>
      <c r="R62" s="30" t="str">
        <f>IF($C62="","",COUNTIFS('3 Nhật ký dừng máy'!$A$6:$A$1005,$A62,'3 Nhật ký dừng máy'!$B$6:$B$1005,$B62,'3 Nhật ký dừng máy'!$C$6:$C$1005,$C62,'3 Nhật ký dừng máy'!$K$6:$K$1005,"Ngoài kế hoạch"))</f>
        <v/>
      </c>
      <c r="S62" s="31" t="str">
        <f t="shared" si="4"/>
        <v/>
      </c>
      <c r="T62" s="31" t="str">
        <f t="shared" si="5"/>
        <v/>
      </c>
      <c r="U62" s="31" t="str">
        <f t="shared" si="6"/>
        <v/>
      </c>
      <c r="V62" s="32" t="str">
        <f t="shared" si="7"/>
        <v/>
      </c>
      <c r="W62" s="30" t="str">
        <f t="shared" si="8"/>
        <v/>
      </c>
      <c r="X62" s="33" t="str">
        <f t="shared" si="9"/>
        <v/>
      </c>
      <c r="Y62" s="34" t="str">
        <f t="shared" si="10"/>
        <v/>
      </c>
    </row>
    <row r="63" spans="1:25" x14ac:dyDescent="0.2">
      <c r="A63" s="35"/>
      <c r="B63" s="21"/>
      <c r="C63" s="18"/>
      <c r="D63" s="21"/>
      <c r="E63" s="21"/>
      <c r="F63" s="21"/>
      <c r="G63" s="36"/>
      <c r="H63" s="36"/>
      <c r="I63" s="36"/>
      <c r="J63" s="37"/>
      <c r="K63" s="18"/>
      <c r="L63" s="28" t="str">
        <f t="shared" si="0"/>
        <v/>
      </c>
      <c r="M63" s="29" t="str">
        <f t="shared" si="1"/>
        <v/>
      </c>
      <c r="N63" s="29" t="str">
        <f t="shared" si="2"/>
        <v/>
      </c>
      <c r="O63" s="30" t="str">
        <f t="shared" si="3"/>
        <v/>
      </c>
      <c r="P63" s="28" t="str">
        <f>IF($C63="","",IFERROR(INDEX(CA_TG,MATCH(B63,DS_CA,0))-INDEX(CA_NGHI,MATCH(B63,DS_CA,0))-SUMIFS('3 Nhật ký dừng máy'!$I$6:$I$1005,'3 Nhật ký dừng máy'!$A$6:$A$1005,$A63,'3 Nhật ký dừng máy'!$B$6:$B$1005,$B63,'3 Nhật ký dừng máy'!$C$6:$C$1005,$C63,'3 Nhật ký dừng máy'!$K$6:$K$1005,"Có kế hoạch"),"?"))</f>
        <v/>
      </c>
      <c r="Q63" s="28" t="str">
        <f>IF($C63="","",SUMIFS('3 Nhật ký dừng máy'!$I$6:$I$1005,'3 Nhật ký dừng máy'!$A$6:$A$1005,$A63,'3 Nhật ký dừng máy'!$B$6:$B$1005,$B63,'3 Nhật ký dừng máy'!$C$6:$C$1005,$C63,'3 Nhật ký dừng máy'!$K$6:$K$1005,"Ngoài kế hoạch"))</f>
        <v/>
      </c>
      <c r="R63" s="30" t="str">
        <f>IF($C63="","",COUNTIFS('3 Nhật ký dừng máy'!$A$6:$A$1005,$A63,'3 Nhật ký dừng máy'!$B$6:$B$1005,$B63,'3 Nhật ký dừng máy'!$C$6:$C$1005,$C63,'3 Nhật ký dừng máy'!$K$6:$K$1005,"Ngoài kế hoạch"))</f>
        <v/>
      </c>
      <c r="S63" s="31" t="str">
        <f t="shared" si="4"/>
        <v/>
      </c>
      <c r="T63" s="31" t="str">
        <f t="shared" si="5"/>
        <v/>
      </c>
      <c r="U63" s="31" t="str">
        <f t="shared" si="6"/>
        <v/>
      </c>
      <c r="V63" s="32" t="str">
        <f t="shared" si="7"/>
        <v/>
      </c>
      <c r="W63" s="30" t="str">
        <f t="shared" si="8"/>
        <v/>
      </c>
      <c r="X63" s="33" t="str">
        <f t="shared" si="9"/>
        <v/>
      </c>
      <c r="Y63" s="34" t="str">
        <f t="shared" si="10"/>
        <v/>
      </c>
    </row>
    <row r="64" spans="1:25" x14ac:dyDescent="0.2">
      <c r="A64" s="35"/>
      <c r="B64" s="21"/>
      <c r="C64" s="18"/>
      <c r="D64" s="21"/>
      <c r="E64" s="21"/>
      <c r="F64" s="21"/>
      <c r="G64" s="36"/>
      <c r="H64" s="36"/>
      <c r="I64" s="36"/>
      <c r="J64" s="37"/>
      <c r="K64" s="18"/>
      <c r="L64" s="28" t="str">
        <f t="shared" si="0"/>
        <v/>
      </c>
      <c r="M64" s="29" t="str">
        <f t="shared" si="1"/>
        <v/>
      </c>
      <c r="N64" s="29" t="str">
        <f t="shared" si="2"/>
        <v/>
      </c>
      <c r="O64" s="30" t="str">
        <f t="shared" si="3"/>
        <v/>
      </c>
      <c r="P64" s="28" t="str">
        <f>IF($C64="","",IFERROR(INDEX(CA_TG,MATCH(B64,DS_CA,0))-INDEX(CA_NGHI,MATCH(B64,DS_CA,0))-SUMIFS('3 Nhật ký dừng máy'!$I$6:$I$1005,'3 Nhật ký dừng máy'!$A$6:$A$1005,$A64,'3 Nhật ký dừng máy'!$B$6:$B$1005,$B64,'3 Nhật ký dừng máy'!$C$6:$C$1005,$C64,'3 Nhật ký dừng máy'!$K$6:$K$1005,"Có kế hoạch"),"?"))</f>
        <v/>
      </c>
      <c r="Q64" s="28" t="str">
        <f>IF($C64="","",SUMIFS('3 Nhật ký dừng máy'!$I$6:$I$1005,'3 Nhật ký dừng máy'!$A$6:$A$1005,$A64,'3 Nhật ký dừng máy'!$B$6:$B$1005,$B64,'3 Nhật ký dừng máy'!$C$6:$C$1005,$C64,'3 Nhật ký dừng máy'!$K$6:$K$1005,"Ngoài kế hoạch"))</f>
        <v/>
      </c>
      <c r="R64" s="30" t="str">
        <f>IF($C64="","",COUNTIFS('3 Nhật ký dừng máy'!$A$6:$A$1005,$A64,'3 Nhật ký dừng máy'!$B$6:$B$1005,$B64,'3 Nhật ký dừng máy'!$C$6:$C$1005,$C64,'3 Nhật ký dừng máy'!$K$6:$K$1005,"Ngoài kế hoạch"))</f>
        <v/>
      </c>
      <c r="S64" s="31" t="str">
        <f t="shared" si="4"/>
        <v/>
      </c>
      <c r="T64" s="31" t="str">
        <f t="shared" si="5"/>
        <v/>
      </c>
      <c r="U64" s="31" t="str">
        <f t="shared" si="6"/>
        <v/>
      </c>
      <c r="V64" s="32" t="str">
        <f t="shared" si="7"/>
        <v/>
      </c>
      <c r="W64" s="30" t="str">
        <f t="shared" si="8"/>
        <v/>
      </c>
      <c r="X64" s="33" t="str">
        <f t="shared" si="9"/>
        <v/>
      </c>
      <c r="Y64" s="34" t="str">
        <f t="shared" si="10"/>
        <v/>
      </c>
    </row>
    <row r="65" spans="1:25" x14ac:dyDescent="0.2">
      <c r="A65" s="35"/>
      <c r="B65" s="21"/>
      <c r="C65" s="18"/>
      <c r="D65" s="21"/>
      <c r="E65" s="21"/>
      <c r="F65" s="21"/>
      <c r="G65" s="36"/>
      <c r="H65" s="36"/>
      <c r="I65" s="36"/>
      <c r="J65" s="37"/>
      <c r="K65" s="18"/>
      <c r="L65" s="28" t="str">
        <f t="shared" si="0"/>
        <v/>
      </c>
      <c r="M65" s="29" t="str">
        <f t="shared" si="1"/>
        <v/>
      </c>
      <c r="N65" s="29" t="str">
        <f t="shared" si="2"/>
        <v/>
      </c>
      <c r="O65" s="30" t="str">
        <f t="shared" si="3"/>
        <v/>
      </c>
      <c r="P65" s="28" t="str">
        <f>IF($C65="","",IFERROR(INDEX(CA_TG,MATCH(B65,DS_CA,0))-INDEX(CA_NGHI,MATCH(B65,DS_CA,0))-SUMIFS('3 Nhật ký dừng máy'!$I$6:$I$1005,'3 Nhật ký dừng máy'!$A$6:$A$1005,$A65,'3 Nhật ký dừng máy'!$B$6:$B$1005,$B65,'3 Nhật ký dừng máy'!$C$6:$C$1005,$C65,'3 Nhật ký dừng máy'!$K$6:$K$1005,"Có kế hoạch"),"?"))</f>
        <v/>
      </c>
      <c r="Q65" s="28" t="str">
        <f>IF($C65="","",SUMIFS('3 Nhật ký dừng máy'!$I$6:$I$1005,'3 Nhật ký dừng máy'!$A$6:$A$1005,$A65,'3 Nhật ký dừng máy'!$B$6:$B$1005,$B65,'3 Nhật ký dừng máy'!$C$6:$C$1005,$C65,'3 Nhật ký dừng máy'!$K$6:$K$1005,"Ngoài kế hoạch"))</f>
        <v/>
      </c>
      <c r="R65" s="30" t="str">
        <f>IF($C65="","",COUNTIFS('3 Nhật ký dừng máy'!$A$6:$A$1005,$A65,'3 Nhật ký dừng máy'!$B$6:$B$1005,$B65,'3 Nhật ký dừng máy'!$C$6:$C$1005,$C65,'3 Nhật ký dừng máy'!$K$6:$K$1005,"Ngoài kế hoạch"))</f>
        <v/>
      </c>
      <c r="S65" s="31" t="str">
        <f t="shared" si="4"/>
        <v/>
      </c>
      <c r="T65" s="31" t="str">
        <f t="shared" si="5"/>
        <v/>
      </c>
      <c r="U65" s="31" t="str">
        <f t="shared" si="6"/>
        <v/>
      </c>
      <c r="V65" s="32" t="str">
        <f t="shared" si="7"/>
        <v/>
      </c>
      <c r="W65" s="30" t="str">
        <f t="shared" si="8"/>
        <v/>
      </c>
      <c r="X65" s="33" t="str">
        <f t="shared" si="9"/>
        <v/>
      </c>
      <c r="Y65" s="34" t="str">
        <f t="shared" si="10"/>
        <v/>
      </c>
    </row>
    <row r="66" spans="1:25" x14ac:dyDescent="0.2">
      <c r="A66" s="35"/>
      <c r="B66" s="21"/>
      <c r="C66" s="18"/>
      <c r="D66" s="21"/>
      <c r="E66" s="21"/>
      <c r="F66" s="21"/>
      <c r="G66" s="36"/>
      <c r="H66" s="36"/>
      <c r="I66" s="36"/>
      <c r="J66" s="37"/>
      <c r="K66" s="18"/>
      <c r="L66" s="28" t="str">
        <f t="shared" si="0"/>
        <v/>
      </c>
      <c r="M66" s="29" t="str">
        <f t="shared" si="1"/>
        <v/>
      </c>
      <c r="N66" s="29" t="str">
        <f t="shared" si="2"/>
        <v/>
      </c>
      <c r="O66" s="30" t="str">
        <f t="shared" si="3"/>
        <v/>
      </c>
      <c r="P66" s="28" t="str">
        <f>IF($C66="","",IFERROR(INDEX(CA_TG,MATCH(B66,DS_CA,0))-INDEX(CA_NGHI,MATCH(B66,DS_CA,0))-SUMIFS('3 Nhật ký dừng máy'!$I$6:$I$1005,'3 Nhật ký dừng máy'!$A$6:$A$1005,$A66,'3 Nhật ký dừng máy'!$B$6:$B$1005,$B66,'3 Nhật ký dừng máy'!$C$6:$C$1005,$C66,'3 Nhật ký dừng máy'!$K$6:$K$1005,"Có kế hoạch"),"?"))</f>
        <v/>
      </c>
      <c r="Q66" s="28" t="str">
        <f>IF($C66="","",SUMIFS('3 Nhật ký dừng máy'!$I$6:$I$1005,'3 Nhật ký dừng máy'!$A$6:$A$1005,$A66,'3 Nhật ký dừng máy'!$B$6:$B$1005,$B66,'3 Nhật ký dừng máy'!$C$6:$C$1005,$C66,'3 Nhật ký dừng máy'!$K$6:$K$1005,"Ngoài kế hoạch"))</f>
        <v/>
      </c>
      <c r="R66" s="30" t="str">
        <f>IF($C66="","",COUNTIFS('3 Nhật ký dừng máy'!$A$6:$A$1005,$A66,'3 Nhật ký dừng máy'!$B$6:$B$1005,$B66,'3 Nhật ký dừng máy'!$C$6:$C$1005,$C66,'3 Nhật ký dừng máy'!$K$6:$K$1005,"Ngoài kế hoạch"))</f>
        <v/>
      </c>
      <c r="S66" s="31" t="str">
        <f t="shared" si="4"/>
        <v/>
      </c>
      <c r="T66" s="31" t="str">
        <f t="shared" si="5"/>
        <v/>
      </c>
      <c r="U66" s="31" t="str">
        <f t="shared" si="6"/>
        <v/>
      </c>
      <c r="V66" s="32" t="str">
        <f t="shared" si="7"/>
        <v/>
      </c>
      <c r="W66" s="30" t="str">
        <f t="shared" si="8"/>
        <v/>
      </c>
      <c r="X66" s="33" t="str">
        <f t="shared" si="9"/>
        <v/>
      </c>
      <c r="Y66" s="34" t="str">
        <f t="shared" si="10"/>
        <v/>
      </c>
    </row>
    <row r="67" spans="1:25" x14ac:dyDescent="0.2">
      <c r="A67" s="35"/>
      <c r="B67" s="21"/>
      <c r="C67" s="18"/>
      <c r="D67" s="21"/>
      <c r="E67" s="21"/>
      <c r="F67" s="21"/>
      <c r="G67" s="36"/>
      <c r="H67" s="36"/>
      <c r="I67" s="36"/>
      <c r="J67" s="37"/>
      <c r="K67" s="18"/>
      <c r="L67" s="28" t="str">
        <f t="shared" si="0"/>
        <v/>
      </c>
      <c r="M67" s="29" t="str">
        <f t="shared" si="1"/>
        <v/>
      </c>
      <c r="N67" s="29" t="str">
        <f t="shared" si="2"/>
        <v/>
      </c>
      <c r="O67" s="30" t="str">
        <f t="shared" si="3"/>
        <v/>
      </c>
      <c r="P67" s="28" t="str">
        <f>IF($C67="","",IFERROR(INDEX(CA_TG,MATCH(B67,DS_CA,0))-INDEX(CA_NGHI,MATCH(B67,DS_CA,0))-SUMIFS('3 Nhật ký dừng máy'!$I$6:$I$1005,'3 Nhật ký dừng máy'!$A$6:$A$1005,$A67,'3 Nhật ký dừng máy'!$B$6:$B$1005,$B67,'3 Nhật ký dừng máy'!$C$6:$C$1005,$C67,'3 Nhật ký dừng máy'!$K$6:$K$1005,"Có kế hoạch"),"?"))</f>
        <v/>
      </c>
      <c r="Q67" s="28" t="str">
        <f>IF($C67="","",SUMIFS('3 Nhật ký dừng máy'!$I$6:$I$1005,'3 Nhật ký dừng máy'!$A$6:$A$1005,$A67,'3 Nhật ký dừng máy'!$B$6:$B$1005,$B67,'3 Nhật ký dừng máy'!$C$6:$C$1005,$C67,'3 Nhật ký dừng máy'!$K$6:$K$1005,"Ngoài kế hoạch"))</f>
        <v/>
      </c>
      <c r="R67" s="30" t="str">
        <f>IF($C67="","",COUNTIFS('3 Nhật ký dừng máy'!$A$6:$A$1005,$A67,'3 Nhật ký dừng máy'!$B$6:$B$1005,$B67,'3 Nhật ký dừng máy'!$C$6:$C$1005,$C67,'3 Nhật ký dừng máy'!$K$6:$K$1005,"Ngoài kế hoạch"))</f>
        <v/>
      </c>
      <c r="S67" s="31" t="str">
        <f t="shared" si="4"/>
        <v/>
      </c>
      <c r="T67" s="31" t="str">
        <f t="shared" si="5"/>
        <v/>
      </c>
      <c r="U67" s="31" t="str">
        <f t="shared" si="6"/>
        <v/>
      </c>
      <c r="V67" s="32" t="str">
        <f t="shared" si="7"/>
        <v/>
      </c>
      <c r="W67" s="30" t="str">
        <f t="shared" si="8"/>
        <v/>
      </c>
      <c r="X67" s="33" t="str">
        <f t="shared" si="9"/>
        <v/>
      </c>
      <c r="Y67" s="34" t="str">
        <f t="shared" si="10"/>
        <v/>
      </c>
    </row>
    <row r="68" spans="1:25" x14ac:dyDescent="0.2">
      <c r="A68" s="35"/>
      <c r="B68" s="21"/>
      <c r="C68" s="18"/>
      <c r="D68" s="21"/>
      <c r="E68" s="21"/>
      <c r="F68" s="21"/>
      <c r="G68" s="36"/>
      <c r="H68" s="36"/>
      <c r="I68" s="36"/>
      <c r="J68" s="37"/>
      <c r="K68" s="18"/>
      <c r="L68" s="28" t="str">
        <f t="shared" si="0"/>
        <v/>
      </c>
      <c r="M68" s="29" t="str">
        <f t="shared" si="1"/>
        <v/>
      </c>
      <c r="N68" s="29" t="str">
        <f t="shared" si="2"/>
        <v/>
      </c>
      <c r="O68" s="30" t="str">
        <f t="shared" si="3"/>
        <v/>
      </c>
      <c r="P68" s="28" t="str">
        <f>IF($C68="","",IFERROR(INDEX(CA_TG,MATCH(B68,DS_CA,0))-INDEX(CA_NGHI,MATCH(B68,DS_CA,0))-SUMIFS('3 Nhật ký dừng máy'!$I$6:$I$1005,'3 Nhật ký dừng máy'!$A$6:$A$1005,$A68,'3 Nhật ký dừng máy'!$B$6:$B$1005,$B68,'3 Nhật ký dừng máy'!$C$6:$C$1005,$C68,'3 Nhật ký dừng máy'!$K$6:$K$1005,"Có kế hoạch"),"?"))</f>
        <v/>
      </c>
      <c r="Q68" s="28" t="str">
        <f>IF($C68="","",SUMIFS('3 Nhật ký dừng máy'!$I$6:$I$1005,'3 Nhật ký dừng máy'!$A$6:$A$1005,$A68,'3 Nhật ký dừng máy'!$B$6:$B$1005,$B68,'3 Nhật ký dừng máy'!$C$6:$C$1005,$C68,'3 Nhật ký dừng máy'!$K$6:$K$1005,"Ngoài kế hoạch"))</f>
        <v/>
      </c>
      <c r="R68" s="30" t="str">
        <f>IF($C68="","",COUNTIFS('3 Nhật ký dừng máy'!$A$6:$A$1005,$A68,'3 Nhật ký dừng máy'!$B$6:$B$1005,$B68,'3 Nhật ký dừng máy'!$C$6:$C$1005,$C68,'3 Nhật ký dừng máy'!$K$6:$K$1005,"Ngoài kế hoạch"))</f>
        <v/>
      </c>
      <c r="S68" s="31" t="str">
        <f t="shared" si="4"/>
        <v/>
      </c>
      <c r="T68" s="31" t="str">
        <f t="shared" si="5"/>
        <v/>
      </c>
      <c r="U68" s="31" t="str">
        <f t="shared" si="6"/>
        <v/>
      </c>
      <c r="V68" s="32" t="str">
        <f t="shared" si="7"/>
        <v/>
      </c>
      <c r="W68" s="30" t="str">
        <f t="shared" si="8"/>
        <v/>
      </c>
      <c r="X68" s="33" t="str">
        <f t="shared" si="9"/>
        <v/>
      </c>
      <c r="Y68" s="34" t="str">
        <f t="shared" si="10"/>
        <v/>
      </c>
    </row>
    <row r="69" spans="1:25" x14ac:dyDescent="0.2">
      <c r="A69" s="35"/>
      <c r="B69" s="21"/>
      <c r="C69" s="18"/>
      <c r="D69" s="21"/>
      <c r="E69" s="21"/>
      <c r="F69" s="21"/>
      <c r="G69" s="36"/>
      <c r="H69" s="36"/>
      <c r="I69" s="36"/>
      <c r="J69" s="37"/>
      <c r="K69" s="18"/>
      <c r="L69" s="28" t="str">
        <f t="shared" si="0"/>
        <v/>
      </c>
      <c r="M69" s="29" t="str">
        <f t="shared" si="1"/>
        <v/>
      </c>
      <c r="N69" s="29" t="str">
        <f t="shared" si="2"/>
        <v/>
      </c>
      <c r="O69" s="30" t="str">
        <f t="shared" si="3"/>
        <v/>
      </c>
      <c r="P69" s="28" t="str">
        <f>IF($C69="","",IFERROR(INDEX(CA_TG,MATCH(B69,DS_CA,0))-INDEX(CA_NGHI,MATCH(B69,DS_CA,0))-SUMIFS('3 Nhật ký dừng máy'!$I$6:$I$1005,'3 Nhật ký dừng máy'!$A$6:$A$1005,$A69,'3 Nhật ký dừng máy'!$B$6:$B$1005,$B69,'3 Nhật ký dừng máy'!$C$6:$C$1005,$C69,'3 Nhật ký dừng máy'!$K$6:$K$1005,"Có kế hoạch"),"?"))</f>
        <v/>
      </c>
      <c r="Q69" s="28" t="str">
        <f>IF($C69="","",SUMIFS('3 Nhật ký dừng máy'!$I$6:$I$1005,'3 Nhật ký dừng máy'!$A$6:$A$1005,$A69,'3 Nhật ký dừng máy'!$B$6:$B$1005,$B69,'3 Nhật ký dừng máy'!$C$6:$C$1005,$C69,'3 Nhật ký dừng máy'!$K$6:$K$1005,"Ngoài kế hoạch"))</f>
        <v/>
      </c>
      <c r="R69" s="30" t="str">
        <f>IF($C69="","",COUNTIFS('3 Nhật ký dừng máy'!$A$6:$A$1005,$A69,'3 Nhật ký dừng máy'!$B$6:$B$1005,$B69,'3 Nhật ký dừng máy'!$C$6:$C$1005,$C69,'3 Nhật ký dừng máy'!$K$6:$K$1005,"Ngoài kế hoạch"))</f>
        <v/>
      </c>
      <c r="S69" s="31" t="str">
        <f t="shared" si="4"/>
        <v/>
      </c>
      <c r="T69" s="31" t="str">
        <f t="shared" si="5"/>
        <v/>
      </c>
      <c r="U69" s="31" t="str">
        <f t="shared" si="6"/>
        <v/>
      </c>
      <c r="V69" s="32" t="str">
        <f t="shared" si="7"/>
        <v/>
      </c>
      <c r="W69" s="30" t="str">
        <f t="shared" si="8"/>
        <v/>
      </c>
      <c r="X69" s="33" t="str">
        <f t="shared" si="9"/>
        <v/>
      </c>
      <c r="Y69" s="34" t="str">
        <f t="shared" si="10"/>
        <v/>
      </c>
    </row>
    <row r="70" spans="1:25" x14ac:dyDescent="0.2">
      <c r="A70" s="35"/>
      <c r="B70" s="21"/>
      <c r="C70" s="18"/>
      <c r="D70" s="21"/>
      <c r="E70" s="21"/>
      <c r="F70" s="21"/>
      <c r="G70" s="36"/>
      <c r="H70" s="36"/>
      <c r="I70" s="36"/>
      <c r="J70" s="37"/>
      <c r="K70" s="18"/>
      <c r="L70" s="28" t="str">
        <f t="shared" ref="L70:L133" si="11">IF($C70="","",H70-I70)</f>
        <v/>
      </c>
      <c r="M70" s="29" t="str">
        <f t="shared" ref="M70:M133" si="12">IF(OR($C70="",N(G70)&lt;=0),"",L70/G70)</f>
        <v/>
      </c>
      <c r="N70" s="29" t="str">
        <f t="shared" ref="N70:N133" si="13">IF(OR($C70="",N(H70)&lt;=0),"",I70/H70)</f>
        <v/>
      </c>
      <c r="O70" s="30" t="str">
        <f t="shared" ref="O70:O133" si="14">IF($C70="","",IFERROR(INDEX(MH_CT,MATCH(E70,DS_MH,0)),"?"))</f>
        <v/>
      </c>
      <c r="P70" s="28" t="str">
        <f>IF($C70="","",IFERROR(INDEX(CA_TG,MATCH(B70,DS_CA,0))-INDEX(CA_NGHI,MATCH(B70,DS_CA,0))-SUMIFS('3 Nhật ký dừng máy'!$I$6:$I$1005,'3 Nhật ký dừng máy'!$A$6:$A$1005,$A70,'3 Nhật ký dừng máy'!$B$6:$B$1005,$B70,'3 Nhật ký dừng máy'!$C$6:$C$1005,$C70,'3 Nhật ký dừng máy'!$K$6:$K$1005,"Có kế hoạch"),"?"))</f>
        <v/>
      </c>
      <c r="Q70" s="28" t="str">
        <f>IF($C70="","",SUMIFS('3 Nhật ký dừng máy'!$I$6:$I$1005,'3 Nhật ký dừng máy'!$A$6:$A$1005,$A70,'3 Nhật ký dừng máy'!$B$6:$B$1005,$B70,'3 Nhật ký dừng máy'!$C$6:$C$1005,$C70,'3 Nhật ký dừng máy'!$K$6:$K$1005,"Ngoài kế hoạch"))</f>
        <v/>
      </c>
      <c r="R70" s="30" t="str">
        <f>IF($C70="","",COUNTIFS('3 Nhật ký dừng máy'!$A$6:$A$1005,$A70,'3 Nhật ký dừng máy'!$B$6:$B$1005,$B70,'3 Nhật ký dừng máy'!$C$6:$C$1005,$C70,'3 Nhật ký dừng máy'!$K$6:$K$1005,"Ngoài kế hoạch"))</f>
        <v/>
      </c>
      <c r="S70" s="31" t="str">
        <f t="shared" ref="S70:S133" si="15">IF($C70="","",IFERROR(H70*O70/60,"?"))</f>
        <v/>
      </c>
      <c r="T70" s="31" t="str">
        <f t="shared" ref="T70:T133" si="16">IF($C70="","",IFERROR(P70-Q70-S70,"?"))</f>
        <v/>
      </c>
      <c r="U70" s="31" t="str">
        <f t="shared" ref="U70:U133" si="17">IF($C70="","",IFERROR(L70*O70/60,"?"))</f>
        <v/>
      </c>
      <c r="V70" s="32" t="str">
        <f t="shared" ref="V70:V133" si="18">IF($C70="","",IFERROR(U70/P70,"?"))</f>
        <v/>
      </c>
      <c r="W70" s="30" t="str">
        <f t="shared" ref="W70:W133" si="19">IF(OR($C70="",J70=""),"",INT(J70)-A70)</f>
        <v/>
      </c>
      <c r="X70" s="33" t="str">
        <f t="shared" ref="X70:X133" si="20">IF($C70="","",IFERROR(LEFT(IF(N(T70)&lt;0,"Nhanh hơn chu kỳ chuẩn — chuẩn đặt rộng?; ","")&amp;IF(D70="","Thiếu người đứng máy; ","")&amp;IF(R70=0,"Không ghi lần dừng nào; ","")&amp;IF(COUNTIF($Y$6:$Y$505,Y70)&gt;1,"Trùng dòng máy × ca; ",""),LEN(IF(N(T70)&lt;0,"Nhanh hơn chu kỳ chuẩn — chuẩn đặt rộng?; ","")&amp;IF(D70="","Thiếu người đứng máy; ","")&amp;IF(R70=0,"Không ghi lần dừng nào; ","")&amp;IF(COUNTIF($Y$6:$Y$505,Y70)&gt;1,"Trùng dòng máy × ca; ",""))-2),""))</f>
        <v/>
      </c>
      <c r="Y70" s="34" t="str">
        <f t="shared" ref="Y70:Y133" si="21">IF($C70="","",A70&amp;"|"&amp;B70&amp;"|"&amp;C70)</f>
        <v/>
      </c>
    </row>
    <row r="71" spans="1:25" x14ac:dyDescent="0.2">
      <c r="A71" s="35"/>
      <c r="B71" s="21"/>
      <c r="C71" s="18"/>
      <c r="D71" s="21"/>
      <c r="E71" s="21"/>
      <c r="F71" s="21"/>
      <c r="G71" s="36"/>
      <c r="H71" s="36"/>
      <c r="I71" s="36"/>
      <c r="J71" s="37"/>
      <c r="K71" s="18"/>
      <c r="L71" s="28" t="str">
        <f t="shared" si="11"/>
        <v/>
      </c>
      <c r="M71" s="29" t="str">
        <f t="shared" si="12"/>
        <v/>
      </c>
      <c r="N71" s="29" t="str">
        <f t="shared" si="13"/>
        <v/>
      </c>
      <c r="O71" s="30" t="str">
        <f t="shared" si="14"/>
        <v/>
      </c>
      <c r="P71" s="28" t="str">
        <f>IF($C71="","",IFERROR(INDEX(CA_TG,MATCH(B71,DS_CA,0))-INDEX(CA_NGHI,MATCH(B71,DS_CA,0))-SUMIFS('3 Nhật ký dừng máy'!$I$6:$I$1005,'3 Nhật ký dừng máy'!$A$6:$A$1005,$A71,'3 Nhật ký dừng máy'!$B$6:$B$1005,$B71,'3 Nhật ký dừng máy'!$C$6:$C$1005,$C71,'3 Nhật ký dừng máy'!$K$6:$K$1005,"Có kế hoạch"),"?"))</f>
        <v/>
      </c>
      <c r="Q71" s="28" t="str">
        <f>IF($C71="","",SUMIFS('3 Nhật ký dừng máy'!$I$6:$I$1005,'3 Nhật ký dừng máy'!$A$6:$A$1005,$A71,'3 Nhật ký dừng máy'!$B$6:$B$1005,$B71,'3 Nhật ký dừng máy'!$C$6:$C$1005,$C71,'3 Nhật ký dừng máy'!$K$6:$K$1005,"Ngoài kế hoạch"))</f>
        <v/>
      </c>
      <c r="R71" s="30" t="str">
        <f>IF($C71="","",COUNTIFS('3 Nhật ký dừng máy'!$A$6:$A$1005,$A71,'3 Nhật ký dừng máy'!$B$6:$B$1005,$B71,'3 Nhật ký dừng máy'!$C$6:$C$1005,$C71,'3 Nhật ký dừng máy'!$K$6:$K$1005,"Ngoài kế hoạch"))</f>
        <v/>
      </c>
      <c r="S71" s="31" t="str">
        <f t="shared" si="15"/>
        <v/>
      </c>
      <c r="T71" s="31" t="str">
        <f t="shared" si="16"/>
        <v/>
      </c>
      <c r="U71" s="31" t="str">
        <f t="shared" si="17"/>
        <v/>
      </c>
      <c r="V71" s="32" t="str">
        <f t="shared" si="18"/>
        <v/>
      </c>
      <c r="W71" s="30" t="str">
        <f t="shared" si="19"/>
        <v/>
      </c>
      <c r="X71" s="33" t="str">
        <f t="shared" si="20"/>
        <v/>
      </c>
      <c r="Y71" s="34" t="str">
        <f t="shared" si="21"/>
        <v/>
      </c>
    </row>
    <row r="72" spans="1:25" x14ac:dyDescent="0.2">
      <c r="A72" s="35"/>
      <c r="B72" s="21"/>
      <c r="C72" s="18"/>
      <c r="D72" s="21"/>
      <c r="E72" s="21"/>
      <c r="F72" s="21"/>
      <c r="G72" s="36"/>
      <c r="H72" s="36"/>
      <c r="I72" s="36"/>
      <c r="J72" s="37"/>
      <c r="K72" s="18"/>
      <c r="L72" s="28" t="str">
        <f t="shared" si="11"/>
        <v/>
      </c>
      <c r="M72" s="29" t="str">
        <f t="shared" si="12"/>
        <v/>
      </c>
      <c r="N72" s="29" t="str">
        <f t="shared" si="13"/>
        <v/>
      </c>
      <c r="O72" s="30" t="str">
        <f t="shared" si="14"/>
        <v/>
      </c>
      <c r="P72" s="28" t="str">
        <f>IF($C72="","",IFERROR(INDEX(CA_TG,MATCH(B72,DS_CA,0))-INDEX(CA_NGHI,MATCH(B72,DS_CA,0))-SUMIFS('3 Nhật ký dừng máy'!$I$6:$I$1005,'3 Nhật ký dừng máy'!$A$6:$A$1005,$A72,'3 Nhật ký dừng máy'!$B$6:$B$1005,$B72,'3 Nhật ký dừng máy'!$C$6:$C$1005,$C72,'3 Nhật ký dừng máy'!$K$6:$K$1005,"Có kế hoạch"),"?"))</f>
        <v/>
      </c>
      <c r="Q72" s="28" t="str">
        <f>IF($C72="","",SUMIFS('3 Nhật ký dừng máy'!$I$6:$I$1005,'3 Nhật ký dừng máy'!$A$6:$A$1005,$A72,'3 Nhật ký dừng máy'!$B$6:$B$1005,$B72,'3 Nhật ký dừng máy'!$C$6:$C$1005,$C72,'3 Nhật ký dừng máy'!$K$6:$K$1005,"Ngoài kế hoạch"))</f>
        <v/>
      </c>
      <c r="R72" s="30" t="str">
        <f>IF($C72="","",COUNTIFS('3 Nhật ký dừng máy'!$A$6:$A$1005,$A72,'3 Nhật ký dừng máy'!$B$6:$B$1005,$B72,'3 Nhật ký dừng máy'!$C$6:$C$1005,$C72,'3 Nhật ký dừng máy'!$K$6:$K$1005,"Ngoài kế hoạch"))</f>
        <v/>
      </c>
      <c r="S72" s="31" t="str">
        <f t="shared" si="15"/>
        <v/>
      </c>
      <c r="T72" s="31" t="str">
        <f t="shared" si="16"/>
        <v/>
      </c>
      <c r="U72" s="31" t="str">
        <f t="shared" si="17"/>
        <v/>
      </c>
      <c r="V72" s="32" t="str">
        <f t="shared" si="18"/>
        <v/>
      </c>
      <c r="W72" s="30" t="str">
        <f t="shared" si="19"/>
        <v/>
      </c>
      <c r="X72" s="33" t="str">
        <f t="shared" si="20"/>
        <v/>
      </c>
      <c r="Y72" s="34" t="str">
        <f t="shared" si="21"/>
        <v/>
      </c>
    </row>
    <row r="73" spans="1:25" x14ac:dyDescent="0.2">
      <c r="A73" s="35"/>
      <c r="B73" s="21"/>
      <c r="C73" s="18"/>
      <c r="D73" s="21"/>
      <c r="E73" s="21"/>
      <c r="F73" s="21"/>
      <c r="G73" s="36"/>
      <c r="H73" s="36"/>
      <c r="I73" s="36"/>
      <c r="J73" s="37"/>
      <c r="K73" s="18"/>
      <c r="L73" s="28" t="str">
        <f t="shared" si="11"/>
        <v/>
      </c>
      <c r="M73" s="29" t="str">
        <f t="shared" si="12"/>
        <v/>
      </c>
      <c r="N73" s="29" t="str">
        <f t="shared" si="13"/>
        <v/>
      </c>
      <c r="O73" s="30" t="str">
        <f t="shared" si="14"/>
        <v/>
      </c>
      <c r="P73" s="28" t="str">
        <f>IF($C73="","",IFERROR(INDEX(CA_TG,MATCH(B73,DS_CA,0))-INDEX(CA_NGHI,MATCH(B73,DS_CA,0))-SUMIFS('3 Nhật ký dừng máy'!$I$6:$I$1005,'3 Nhật ký dừng máy'!$A$6:$A$1005,$A73,'3 Nhật ký dừng máy'!$B$6:$B$1005,$B73,'3 Nhật ký dừng máy'!$C$6:$C$1005,$C73,'3 Nhật ký dừng máy'!$K$6:$K$1005,"Có kế hoạch"),"?"))</f>
        <v/>
      </c>
      <c r="Q73" s="28" t="str">
        <f>IF($C73="","",SUMIFS('3 Nhật ký dừng máy'!$I$6:$I$1005,'3 Nhật ký dừng máy'!$A$6:$A$1005,$A73,'3 Nhật ký dừng máy'!$B$6:$B$1005,$B73,'3 Nhật ký dừng máy'!$C$6:$C$1005,$C73,'3 Nhật ký dừng máy'!$K$6:$K$1005,"Ngoài kế hoạch"))</f>
        <v/>
      </c>
      <c r="R73" s="30" t="str">
        <f>IF($C73="","",COUNTIFS('3 Nhật ký dừng máy'!$A$6:$A$1005,$A73,'3 Nhật ký dừng máy'!$B$6:$B$1005,$B73,'3 Nhật ký dừng máy'!$C$6:$C$1005,$C73,'3 Nhật ký dừng máy'!$K$6:$K$1005,"Ngoài kế hoạch"))</f>
        <v/>
      </c>
      <c r="S73" s="31" t="str">
        <f t="shared" si="15"/>
        <v/>
      </c>
      <c r="T73" s="31" t="str">
        <f t="shared" si="16"/>
        <v/>
      </c>
      <c r="U73" s="31" t="str">
        <f t="shared" si="17"/>
        <v/>
      </c>
      <c r="V73" s="32" t="str">
        <f t="shared" si="18"/>
        <v/>
      </c>
      <c r="W73" s="30" t="str">
        <f t="shared" si="19"/>
        <v/>
      </c>
      <c r="X73" s="33" t="str">
        <f t="shared" si="20"/>
        <v/>
      </c>
      <c r="Y73" s="34" t="str">
        <f t="shared" si="21"/>
        <v/>
      </c>
    </row>
    <row r="74" spans="1:25" x14ac:dyDescent="0.2">
      <c r="A74" s="35"/>
      <c r="B74" s="21"/>
      <c r="C74" s="18"/>
      <c r="D74" s="21"/>
      <c r="E74" s="21"/>
      <c r="F74" s="21"/>
      <c r="G74" s="36"/>
      <c r="H74" s="36"/>
      <c r="I74" s="36"/>
      <c r="J74" s="37"/>
      <c r="K74" s="18"/>
      <c r="L74" s="28" t="str">
        <f t="shared" si="11"/>
        <v/>
      </c>
      <c r="M74" s="29" t="str">
        <f t="shared" si="12"/>
        <v/>
      </c>
      <c r="N74" s="29" t="str">
        <f t="shared" si="13"/>
        <v/>
      </c>
      <c r="O74" s="30" t="str">
        <f t="shared" si="14"/>
        <v/>
      </c>
      <c r="P74" s="28" t="str">
        <f>IF($C74="","",IFERROR(INDEX(CA_TG,MATCH(B74,DS_CA,0))-INDEX(CA_NGHI,MATCH(B74,DS_CA,0))-SUMIFS('3 Nhật ký dừng máy'!$I$6:$I$1005,'3 Nhật ký dừng máy'!$A$6:$A$1005,$A74,'3 Nhật ký dừng máy'!$B$6:$B$1005,$B74,'3 Nhật ký dừng máy'!$C$6:$C$1005,$C74,'3 Nhật ký dừng máy'!$K$6:$K$1005,"Có kế hoạch"),"?"))</f>
        <v/>
      </c>
      <c r="Q74" s="28" t="str">
        <f>IF($C74="","",SUMIFS('3 Nhật ký dừng máy'!$I$6:$I$1005,'3 Nhật ký dừng máy'!$A$6:$A$1005,$A74,'3 Nhật ký dừng máy'!$B$6:$B$1005,$B74,'3 Nhật ký dừng máy'!$C$6:$C$1005,$C74,'3 Nhật ký dừng máy'!$K$6:$K$1005,"Ngoài kế hoạch"))</f>
        <v/>
      </c>
      <c r="R74" s="30" t="str">
        <f>IF($C74="","",COUNTIFS('3 Nhật ký dừng máy'!$A$6:$A$1005,$A74,'3 Nhật ký dừng máy'!$B$6:$B$1005,$B74,'3 Nhật ký dừng máy'!$C$6:$C$1005,$C74,'3 Nhật ký dừng máy'!$K$6:$K$1005,"Ngoài kế hoạch"))</f>
        <v/>
      </c>
      <c r="S74" s="31" t="str">
        <f t="shared" si="15"/>
        <v/>
      </c>
      <c r="T74" s="31" t="str">
        <f t="shared" si="16"/>
        <v/>
      </c>
      <c r="U74" s="31" t="str">
        <f t="shared" si="17"/>
        <v/>
      </c>
      <c r="V74" s="32" t="str">
        <f t="shared" si="18"/>
        <v/>
      </c>
      <c r="W74" s="30" t="str">
        <f t="shared" si="19"/>
        <v/>
      </c>
      <c r="X74" s="33" t="str">
        <f t="shared" si="20"/>
        <v/>
      </c>
      <c r="Y74" s="34" t="str">
        <f t="shared" si="21"/>
        <v/>
      </c>
    </row>
    <row r="75" spans="1:25" x14ac:dyDescent="0.2">
      <c r="A75" s="35"/>
      <c r="B75" s="21"/>
      <c r="C75" s="18"/>
      <c r="D75" s="21"/>
      <c r="E75" s="21"/>
      <c r="F75" s="21"/>
      <c r="G75" s="36"/>
      <c r="H75" s="36"/>
      <c r="I75" s="36"/>
      <c r="J75" s="37"/>
      <c r="K75" s="18"/>
      <c r="L75" s="28" t="str">
        <f t="shared" si="11"/>
        <v/>
      </c>
      <c r="M75" s="29" t="str">
        <f t="shared" si="12"/>
        <v/>
      </c>
      <c r="N75" s="29" t="str">
        <f t="shared" si="13"/>
        <v/>
      </c>
      <c r="O75" s="30" t="str">
        <f t="shared" si="14"/>
        <v/>
      </c>
      <c r="P75" s="28" t="str">
        <f>IF($C75="","",IFERROR(INDEX(CA_TG,MATCH(B75,DS_CA,0))-INDEX(CA_NGHI,MATCH(B75,DS_CA,0))-SUMIFS('3 Nhật ký dừng máy'!$I$6:$I$1005,'3 Nhật ký dừng máy'!$A$6:$A$1005,$A75,'3 Nhật ký dừng máy'!$B$6:$B$1005,$B75,'3 Nhật ký dừng máy'!$C$6:$C$1005,$C75,'3 Nhật ký dừng máy'!$K$6:$K$1005,"Có kế hoạch"),"?"))</f>
        <v/>
      </c>
      <c r="Q75" s="28" t="str">
        <f>IF($C75="","",SUMIFS('3 Nhật ký dừng máy'!$I$6:$I$1005,'3 Nhật ký dừng máy'!$A$6:$A$1005,$A75,'3 Nhật ký dừng máy'!$B$6:$B$1005,$B75,'3 Nhật ký dừng máy'!$C$6:$C$1005,$C75,'3 Nhật ký dừng máy'!$K$6:$K$1005,"Ngoài kế hoạch"))</f>
        <v/>
      </c>
      <c r="R75" s="30" t="str">
        <f>IF($C75="","",COUNTIFS('3 Nhật ký dừng máy'!$A$6:$A$1005,$A75,'3 Nhật ký dừng máy'!$B$6:$B$1005,$B75,'3 Nhật ký dừng máy'!$C$6:$C$1005,$C75,'3 Nhật ký dừng máy'!$K$6:$K$1005,"Ngoài kế hoạch"))</f>
        <v/>
      </c>
      <c r="S75" s="31" t="str">
        <f t="shared" si="15"/>
        <v/>
      </c>
      <c r="T75" s="31" t="str">
        <f t="shared" si="16"/>
        <v/>
      </c>
      <c r="U75" s="31" t="str">
        <f t="shared" si="17"/>
        <v/>
      </c>
      <c r="V75" s="32" t="str">
        <f t="shared" si="18"/>
        <v/>
      </c>
      <c r="W75" s="30" t="str">
        <f t="shared" si="19"/>
        <v/>
      </c>
      <c r="X75" s="33" t="str">
        <f t="shared" si="20"/>
        <v/>
      </c>
      <c r="Y75" s="34" t="str">
        <f t="shared" si="21"/>
        <v/>
      </c>
    </row>
    <row r="76" spans="1:25" x14ac:dyDescent="0.2">
      <c r="A76" s="35"/>
      <c r="B76" s="21"/>
      <c r="C76" s="18"/>
      <c r="D76" s="21"/>
      <c r="E76" s="21"/>
      <c r="F76" s="21"/>
      <c r="G76" s="36"/>
      <c r="H76" s="36"/>
      <c r="I76" s="36"/>
      <c r="J76" s="37"/>
      <c r="K76" s="18"/>
      <c r="L76" s="28" t="str">
        <f t="shared" si="11"/>
        <v/>
      </c>
      <c r="M76" s="29" t="str">
        <f t="shared" si="12"/>
        <v/>
      </c>
      <c r="N76" s="29" t="str">
        <f t="shared" si="13"/>
        <v/>
      </c>
      <c r="O76" s="30" t="str">
        <f t="shared" si="14"/>
        <v/>
      </c>
      <c r="P76" s="28" t="str">
        <f>IF($C76="","",IFERROR(INDEX(CA_TG,MATCH(B76,DS_CA,0))-INDEX(CA_NGHI,MATCH(B76,DS_CA,0))-SUMIFS('3 Nhật ký dừng máy'!$I$6:$I$1005,'3 Nhật ký dừng máy'!$A$6:$A$1005,$A76,'3 Nhật ký dừng máy'!$B$6:$B$1005,$B76,'3 Nhật ký dừng máy'!$C$6:$C$1005,$C76,'3 Nhật ký dừng máy'!$K$6:$K$1005,"Có kế hoạch"),"?"))</f>
        <v/>
      </c>
      <c r="Q76" s="28" t="str">
        <f>IF($C76="","",SUMIFS('3 Nhật ký dừng máy'!$I$6:$I$1005,'3 Nhật ký dừng máy'!$A$6:$A$1005,$A76,'3 Nhật ký dừng máy'!$B$6:$B$1005,$B76,'3 Nhật ký dừng máy'!$C$6:$C$1005,$C76,'3 Nhật ký dừng máy'!$K$6:$K$1005,"Ngoài kế hoạch"))</f>
        <v/>
      </c>
      <c r="R76" s="30" t="str">
        <f>IF($C76="","",COUNTIFS('3 Nhật ký dừng máy'!$A$6:$A$1005,$A76,'3 Nhật ký dừng máy'!$B$6:$B$1005,$B76,'3 Nhật ký dừng máy'!$C$6:$C$1005,$C76,'3 Nhật ký dừng máy'!$K$6:$K$1005,"Ngoài kế hoạch"))</f>
        <v/>
      </c>
      <c r="S76" s="31" t="str">
        <f t="shared" si="15"/>
        <v/>
      </c>
      <c r="T76" s="31" t="str">
        <f t="shared" si="16"/>
        <v/>
      </c>
      <c r="U76" s="31" t="str">
        <f t="shared" si="17"/>
        <v/>
      </c>
      <c r="V76" s="32" t="str">
        <f t="shared" si="18"/>
        <v/>
      </c>
      <c r="W76" s="30" t="str">
        <f t="shared" si="19"/>
        <v/>
      </c>
      <c r="X76" s="33" t="str">
        <f t="shared" si="20"/>
        <v/>
      </c>
      <c r="Y76" s="34" t="str">
        <f t="shared" si="21"/>
        <v/>
      </c>
    </row>
    <row r="77" spans="1:25" x14ac:dyDescent="0.2">
      <c r="A77" s="35"/>
      <c r="B77" s="21"/>
      <c r="C77" s="18"/>
      <c r="D77" s="21"/>
      <c r="E77" s="21"/>
      <c r="F77" s="21"/>
      <c r="G77" s="36"/>
      <c r="H77" s="36"/>
      <c r="I77" s="36"/>
      <c r="J77" s="37"/>
      <c r="K77" s="18"/>
      <c r="L77" s="28" t="str">
        <f t="shared" si="11"/>
        <v/>
      </c>
      <c r="M77" s="29" t="str">
        <f t="shared" si="12"/>
        <v/>
      </c>
      <c r="N77" s="29" t="str">
        <f t="shared" si="13"/>
        <v/>
      </c>
      <c r="O77" s="30" t="str">
        <f t="shared" si="14"/>
        <v/>
      </c>
      <c r="P77" s="28" t="str">
        <f>IF($C77="","",IFERROR(INDEX(CA_TG,MATCH(B77,DS_CA,0))-INDEX(CA_NGHI,MATCH(B77,DS_CA,0))-SUMIFS('3 Nhật ký dừng máy'!$I$6:$I$1005,'3 Nhật ký dừng máy'!$A$6:$A$1005,$A77,'3 Nhật ký dừng máy'!$B$6:$B$1005,$B77,'3 Nhật ký dừng máy'!$C$6:$C$1005,$C77,'3 Nhật ký dừng máy'!$K$6:$K$1005,"Có kế hoạch"),"?"))</f>
        <v/>
      </c>
      <c r="Q77" s="28" t="str">
        <f>IF($C77="","",SUMIFS('3 Nhật ký dừng máy'!$I$6:$I$1005,'3 Nhật ký dừng máy'!$A$6:$A$1005,$A77,'3 Nhật ký dừng máy'!$B$6:$B$1005,$B77,'3 Nhật ký dừng máy'!$C$6:$C$1005,$C77,'3 Nhật ký dừng máy'!$K$6:$K$1005,"Ngoài kế hoạch"))</f>
        <v/>
      </c>
      <c r="R77" s="30" t="str">
        <f>IF($C77="","",COUNTIFS('3 Nhật ký dừng máy'!$A$6:$A$1005,$A77,'3 Nhật ký dừng máy'!$B$6:$B$1005,$B77,'3 Nhật ký dừng máy'!$C$6:$C$1005,$C77,'3 Nhật ký dừng máy'!$K$6:$K$1005,"Ngoài kế hoạch"))</f>
        <v/>
      </c>
      <c r="S77" s="31" t="str">
        <f t="shared" si="15"/>
        <v/>
      </c>
      <c r="T77" s="31" t="str">
        <f t="shared" si="16"/>
        <v/>
      </c>
      <c r="U77" s="31" t="str">
        <f t="shared" si="17"/>
        <v/>
      </c>
      <c r="V77" s="32" t="str">
        <f t="shared" si="18"/>
        <v/>
      </c>
      <c r="W77" s="30" t="str">
        <f t="shared" si="19"/>
        <v/>
      </c>
      <c r="X77" s="33" t="str">
        <f t="shared" si="20"/>
        <v/>
      </c>
      <c r="Y77" s="34" t="str">
        <f t="shared" si="21"/>
        <v/>
      </c>
    </row>
    <row r="78" spans="1:25" x14ac:dyDescent="0.2">
      <c r="A78" s="35"/>
      <c r="B78" s="21"/>
      <c r="C78" s="18"/>
      <c r="D78" s="21"/>
      <c r="E78" s="21"/>
      <c r="F78" s="21"/>
      <c r="G78" s="36"/>
      <c r="H78" s="36"/>
      <c r="I78" s="36"/>
      <c r="J78" s="37"/>
      <c r="K78" s="18"/>
      <c r="L78" s="28" t="str">
        <f t="shared" si="11"/>
        <v/>
      </c>
      <c r="M78" s="29" t="str">
        <f t="shared" si="12"/>
        <v/>
      </c>
      <c r="N78" s="29" t="str">
        <f t="shared" si="13"/>
        <v/>
      </c>
      <c r="O78" s="30" t="str">
        <f t="shared" si="14"/>
        <v/>
      </c>
      <c r="P78" s="28" t="str">
        <f>IF($C78="","",IFERROR(INDEX(CA_TG,MATCH(B78,DS_CA,0))-INDEX(CA_NGHI,MATCH(B78,DS_CA,0))-SUMIFS('3 Nhật ký dừng máy'!$I$6:$I$1005,'3 Nhật ký dừng máy'!$A$6:$A$1005,$A78,'3 Nhật ký dừng máy'!$B$6:$B$1005,$B78,'3 Nhật ký dừng máy'!$C$6:$C$1005,$C78,'3 Nhật ký dừng máy'!$K$6:$K$1005,"Có kế hoạch"),"?"))</f>
        <v/>
      </c>
      <c r="Q78" s="28" t="str">
        <f>IF($C78="","",SUMIFS('3 Nhật ký dừng máy'!$I$6:$I$1005,'3 Nhật ký dừng máy'!$A$6:$A$1005,$A78,'3 Nhật ký dừng máy'!$B$6:$B$1005,$B78,'3 Nhật ký dừng máy'!$C$6:$C$1005,$C78,'3 Nhật ký dừng máy'!$K$6:$K$1005,"Ngoài kế hoạch"))</f>
        <v/>
      </c>
      <c r="R78" s="30" t="str">
        <f>IF($C78="","",COUNTIFS('3 Nhật ký dừng máy'!$A$6:$A$1005,$A78,'3 Nhật ký dừng máy'!$B$6:$B$1005,$B78,'3 Nhật ký dừng máy'!$C$6:$C$1005,$C78,'3 Nhật ký dừng máy'!$K$6:$K$1005,"Ngoài kế hoạch"))</f>
        <v/>
      </c>
      <c r="S78" s="31" t="str">
        <f t="shared" si="15"/>
        <v/>
      </c>
      <c r="T78" s="31" t="str">
        <f t="shared" si="16"/>
        <v/>
      </c>
      <c r="U78" s="31" t="str">
        <f t="shared" si="17"/>
        <v/>
      </c>
      <c r="V78" s="32" t="str">
        <f t="shared" si="18"/>
        <v/>
      </c>
      <c r="W78" s="30" t="str">
        <f t="shared" si="19"/>
        <v/>
      </c>
      <c r="X78" s="33" t="str">
        <f t="shared" si="20"/>
        <v/>
      </c>
      <c r="Y78" s="34" t="str">
        <f t="shared" si="21"/>
        <v/>
      </c>
    </row>
    <row r="79" spans="1:25" x14ac:dyDescent="0.2">
      <c r="A79" s="35"/>
      <c r="B79" s="21"/>
      <c r="C79" s="18"/>
      <c r="D79" s="21"/>
      <c r="E79" s="21"/>
      <c r="F79" s="21"/>
      <c r="G79" s="36"/>
      <c r="H79" s="36"/>
      <c r="I79" s="36"/>
      <c r="J79" s="37"/>
      <c r="K79" s="18"/>
      <c r="L79" s="28" t="str">
        <f t="shared" si="11"/>
        <v/>
      </c>
      <c r="M79" s="29" t="str">
        <f t="shared" si="12"/>
        <v/>
      </c>
      <c r="N79" s="29" t="str">
        <f t="shared" si="13"/>
        <v/>
      </c>
      <c r="O79" s="30" t="str">
        <f t="shared" si="14"/>
        <v/>
      </c>
      <c r="P79" s="28" t="str">
        <f>IF($C79="","",IFERROR(INDEX(CA_TG,MATCH(B79,DS_CA,0))-INDEX(CA_NGHI,MATCH(B79,DS_CA,0))-SUMIFS('3 Nhật ký dừng máy'!$I$6:$I$1005,'3 Nhật ký dừng máy'!$A$6:$A$1005,$A79,'3 Nhật ký dừng máy'!$B$6:$B$1005,$B79,'3 Nhật ký dừng máy'!$C$6:$C$1005,$C79,'3 Nhật ký dừng máy'!$K$6:$K$1005,"Có kế hoạch"),"?"))</f>
        <v/>
      </c>
      <c r="Q79" s="28" t="str">
        <f>IF($C79="","",SUMIFS('3 Nhật ký dừng máy'!$I$6:$I$1005,'3 Nhật ký dừng máy'!$A$6:$A$1005,$A79,'3 Nhật ký dừng máy'!$B$6:$B$1005,$B79,'3 Nhật ký dừng máy'!$C$6:$C$1005,$C79,'3 Nhật ký dừng máy'!$K$6:$K$1005,"Ngoài kế hoạch"))</f>
        <v/>
      </c>
      <c r="R79" s="30" t="str">
        <f>IF($C79="","",COUNTIFS('3 Nhật ký dừng máy'!$A$6:$A$1005,$A79,'3 Nhật ký dừng máy'!$B$6:$B$1005,$B79,'3 Nhật ký dừng máy'!$C$6:$C$1005,$C79,'3 Nhật ký dừng máy'!$K$6:$K$1005,"Ngoài kế hoạch"))</f>
        <v/>
      </c>
      <c r="S79" s="31" t="str">
        <f t="shared" si="15"/>
        <v/>
      </c>
      <c r="T79" s="31" t="str">
        <f t="shared" si="16"/>
        <v/>
      </c>
      <c r="U79" s="31" t="str">
        <f t="shared" si="17"/>
        <v/>
      </c>
      <c r="V79" s="32" t="str">
        <f t="shared" si="18"/>
        <v/>
      </c>
      <c r="W79" s="30" t="str">
        <f t="shared" si="19"/>
        <v/>
      </c>
      <c r="X79" s="33" t="str">
        <f t="shared" si="20"/>
        <v/>
      </c>
      <c r="Y79" s="34" t="str">
        <f t="shared" si="21"/>
        <v/>
      </c>
    </row>
    <row r="80" spans="1:25" x14ac:dyDescent="0.2">
      <c r="A80" s="35"/>
      <c r="B80" s="21"/>
      <c r="C80" s="18"/>
      <c r="D80" s="21"/>
      <c r="E80" s="21"/>
      <c r="F80" s="21"/>
      <c r="G80" s="36"/>
      <c r="H80" s="36"/>
      <c r="I80" s="36"/>
      <c r="J80" s="37"/>
      <c r="K80" s="18"/>
      <c r="L80" s="28" t="str">
        <f t="shared" si="11"/>
        <v/>
      </c>
      <c r="M80" s="29" t="str">
        <f t="shared" si="12"/>
        <v/>
      </c>
      <c r="N80" s="29" t="str">
        <f t="shared" si="13"/>
        <v/>
      </c>
      <c r="O80" s="30" t="str">
        <f t="shared" si="14"/>
        <v/>
      </c>
      <c r="P80" s="28" t="str">
        <f>IF($C80="","",IFERROR(INDEX(CA_TG,MATCH(B80,DS_CA,0))-INDEX(CA_NGHI,MATCH(B80,DS_CA,0))-SUMIFS('3 Nhật ký dừng máy'!$I$6:$I$1005,'3 Nhật ký dừng máy'!$A$6:$A$1005,$A80,'3 Nhật ký dừng máy'!$B$6:$B$1005,$B80,'3 Nhật ký dừng máy'!$C$6:$C$1005,$C80,'3 Nhật ký dừng máy'!$K$6:$K$1005,"Có kế hoạch"),"?"))</f>
        <v/>
      </c>
      <c r="Q80" s="28" t="str">
        <f>IF($C80="","",SUMIFS('3 Nhật ký dừng máy'!$I$6:$I$1005,'3 Nhật ký dừng máy'!$A$6:$A$1005,$A80,'3 Nhật ký dừng máy'!$B$6:$B$1005,$B80,'3 Nhật ký dừng máy'!$C$6:$C$1005,$C80,'3 Nhật ký dừng máy'!$K$6:$K$1005,"Ngoài kế hoạch"))</f>
        <v/>
      </c>
      <c r="R80" s="30" t="str">
        <f>IF($C80="","",COUNTIFS('3 Nhật ký dừng máy'!$A$6:$A$1005,$A80,'3 Nhật ký dừng máy'!$B$6:$B$1005,$B80,'3 Nhật ký dừng máy'!$C$6:$C$1005,$C80,'3 Nhật ký dừng máy'!$K$6:$K$1005,"Ngoài kế hoạch"))</f>
        <v/>
      </c>
      <c r="S80" s="31" t="str">
        <f t="shared" si="15"/>
        <v/>
      </c>
      <c r="T80" s="31" t="str">
        <f t="shared" si="16"/>
        <v/>
      </c>
      <c r="U80" s="31" t="str">
        <f t="shared" si="17"/>
        <v/>
      </c>
      <c r="V80" s="32" t="str">
        <f t="shared" si="18"/>
        <v/>
      </c>
      <c r="W80" s="30" t="str">
        <f t="shared" si="19"/>
        <v/>
      </c>
      <c r="X80" s="33" t="str">
        <f t="shared" si="20"/>
        <v/>
      </c>
      <c r="Y80" s="34" t="str">
        <f t="shared" si="21"/>
        <v/>
      </c>
    </row>
    <row r="81" spans="1:25" x14ac:dyDescent="0.2">
      <c r="A81" s="35"/>
      <c r="B81" s="21"/>
      <c r="C81" s="18"/>
      <c r="D81" s="21"/>
      <c r="E81" s="21"/>
      <c r="F81" s="21"/>
      <c r="G81" s="36"/>
      <c r="H81" s="36"/>
      <c r="I81" s="36"/>
      <c r="J81" s="37"/>
      <c r="K81" s="18"/>
      <c r="L81" s="28" t="str">
        <f t="shared" si="11"/>
        <v/>
      </c>
      <c r="M81" s="29" t="str">
        <f t="shared" si="12"/>
        <v/>
      </c>
      <c r="N81" s="29" t="str">
        <f t="shared" si="13"/>
        <v/>
      </c>
      <c r="O81" s="30" t="str">
        <f t="shared" si="14"/>
        <v/>
      </c>
      <c r="P81" s="28" t="str">
        <f>IF($C81="","",IFERROR(INDEX(CA_TG,MATCH(B81,DS_CA,0))-INDEX(CA_NGHI,MATCH(B81,DS_CA,0))-SUMIFS('3 Nhật ký dừng máy'!$I$6:$I$1005,'3 Nhật ký dừng máy'!$A$6:$A$1005,$A81,'3 Nhật ký dừng máy'!$B$6:$B$1005,$B81,'3 Nhật ký dừng máy'!$C$6:$C$1005,$C81,'3 Nhật ký dừng máy'!$K$6:$K$1005,"Có kế hoạch"),"?"))</f>
        <v/>
      </c>
      <c r="Q81" s="28" t="str">
        <f>IF($C81="","",SUMIFS('3 Nhật ký dừng máy'!$I$6:$I$1005,'3 Nhật ký dừng máy'!$A$6:$A$1005,$A81,'3 Nhật ký dừng máy'!$B$6:$B$1005,$B81,'3 Nhật ký dừng máy'!$C$6:$C$1005,$C81,'3 Nhật ký dừng máy'!$K$6:$K$1005,"Ngoài kế hoạch"))</f>
        <v/>
      </c>
      <c r="R81" s="30" t="str">
        <f>IF($C81="","",COUNTIFS('3 Nhật ký dừng máy'!$A$6:$A$1005,$A81,'3 Nhật ký dừng máy'!$B$6:$B$1005,$B81,'3 Nhật ký dừng máy'!$C$6:$C$1005,$C81,'3 Nhật ký dừng máy'!$K$6:$K$1005,"Ngoài kế hoạch"))</f>
        <v/>
      </c>
      <c r="S81" s="31" t="str">
        <f t="shared" si="15"/>
        <v/>
      </c>
      <c r="T81" s="31" t="str">
        <f t="shared" si="16"/>
        <v/>
      </c>
      <c r="U81" s="31" t="str">
        <f t="shared" si="17"/>
        <v/>
      </c>
      <c r="V81" s="32" t="str">
        <f t="shared" si="18"/>
        <v/>
      </c>
      <c r="W81" s="30" t="str">
        <f t="shared" si="19"/>
        <v/>
      </c>
      <c r="X81" s="33" t="str">
        <f t="shared" si="20"/>
        <v/>
      </c>
      <c r="Y81" s="34" t="str">
        <f t="shared" si="21"/>
        <v/>
      </c>
    </row>
    <row r="82" spans="1:25" x14ac:dyDescent="0.2">
      <c r="A82" s="35"/>
      <c r="B82" s="21"/>
      <c r="C82" s="18"/>
      <c r="D82" s="21"/>
      <c r="E82" s="21"/>
      <c r="F82" s="21"/>
      <c r="G82" s="36"/>
      <c r="H82" s="36"/>
      <c r="I82" s="36"/>
      <c r="J82" s="37"/>
      <c r="K82" s="18"/>
      <c r="L82" s="28" t="str">
        <f t="shared" si="11"/>
        <v/>
      </c>
      <c r="M82" s="29" t="str">
        <f t="shared" si="12"/>
        <v/>
      </c>
      <c r="N82" s="29" t="str">
        <f t="shared" si="13"/>
        <v/>
      </c>
      <c r="O82" s="30" t="str">
        <f t="shared" si="14"/>
        <v/>
      </c>
      <c r="P82" s="28" t="str">
        <f>IF($C82="","",IFERROR(INDEX(CA_TG,MATCH(B82,DS_CA,0))-INDEX(CA_NGHI,MATCH(B82,DS_CA,0))-SUMIFS('3 Nhật ký dừng máy'!$I$6:$I$1005,'3 Nhật ký dừng máy'!$A$6:$A$1005,$A82,'3 Nhật ký dừng máy'!$B$6:$B$1005,$B82,'3 Nhật ký dừng máy'!$C$6:$C$1005,$C82,'3 Nhật ký dừng máy'!$K$6:$K$1005,"Có kế hoạch"),"?"))</f>
        <v/>
      </c>
      <c r="Q82" s="28" t="str">
        <f>IF($C82="","",SUMIFS('3 Nhật ký dừng máy'!$I$6:$I$1005,'3 Nhật ký dừng máy'!$A$6:$A$1005,$A82,'3 Nhật ký dừng máy'!$B$6:$B$1005,$B82,'3 Nhật ký dừng máy'!$C$6:$C$1005,$C82,'3 Nhật ký dừng máy'!$K$6:$K$1005,"Ngoài kế hoạch"))</f>
        <v/>
      </c>
      <c r="R82" s="30" t="str">
        <f>IF($C82="","",COUNTIFS('3 Nhật ký dừng máy'!$A$6:$A$1005,$A82,'3 Nhật ký dừng máy'!$B$6:$B$1005,$B82,'3 Nhật ký dừng máy'!$C$6:$C$1005,$C82,'3 Nhật ký dừng máy'!$K$6:$K$1005,"Ngoài kế hoạch"))</f>
        <v/>
      </c>
      <c r="S82" s="31" t="str">
        <f t="shared" si="15"/>
        <v/>
      </c>
      <c r="T82" s="31" t="str">
        <f t="shared" si="16"/>
        <v/>
      </c>
      <c r="U82" s="31" t="str">
        <f t="shared" si="17"/>
        <v/>
      </c>
      <c r="V82" s="32" t="str">
        <f t="shared" si="18"/>
        <v/>
      </c>
      <c r="W82" s="30" t="str">
        <f t="shared" si="19"/>
        <v/>
      </c>
      <c r="X82" s="33" t="str">
        <f t="shared" si="20"/>
        <v/>
      </c>
      <c r="Y82" s="34" t="str">
        <f t="shared" si="21"/>
        <v/>
      </c>
    </row>
    <row r="83" spans="1:25" x14ac:dyDescent="0.2">
      <c r="A83" s="35"/>
      <c r="B83" s="21"/>
      <c r="C83" s="18"/>
      <c r="D83" s="21"/>
      <c r="E83" s="21"/>
      <c r="F83" s="21"/>
      <c r="G83" s="36"/>
      <c r="H83" s="36"/>
      <c r="I83" s="36"/>
      <c r="J83" s="37"/>
      <c r="K83" s="18"/>
      <c r="L83" s="28" t="str">
        <f t="shared" si="11"/>
        <v/>
      </c>
      <c r="M83" s="29" t="str">
        <f t="shared" si="12"/>
        <v/>
      </c>
      <c r="N83" s="29" t="str">
        <f t="shared" si="13"/>
        <v/>
      </c>
      <c r="O83" s="30" t="str">
        <f t="shared" si="14"/>
        <v/>
      </c>
      <c r="P83" s="28" t="str">
        <f>IF($C83="","",IFERROR(INDEX(CA_TG,MATCH(B83,DS_CA,0))-INDEX(CA_NGHI,MATCH(B83,DS_CA,0))-SUMIFS('3 Nhật ký dừng máy'!$I$6:$I$1005,'3 Nhật ký dừng máy'!$A$6:$A$1005,$A83,'3 Nhật ký dừng máy'!$B$6:$B$1005,$B83,'3 Nhật ký dừng máy'!$C$6:$C$1005,$C83,'3 Nhật ký dừng máy'!$K$6:$K$1005,"Có kế hoạch"),"?"))</f>
        <v/>
      </c>
      <c r="Q83" s="28" t="str">
        <f>IF($C83="","",SUMIFS('3 Nhật ký dừng máy'!$I$6:$I$1005,'3 Nhật ký dừng máy'!$A$6:$A$1005,$A83,'3 Nhật ký dừng máy'!$B$6:$B$1005,$B83,'3 Nhật ký dừng máy'!$C$6:$C$1005,$C83,'3 Nhật ký dừng máy'!$K$6:$K$1005,"Ngoài kế hoạch"))</f>
        <v/>
      </c>
      <c r="R83" s="30" t="str">
        <f>IF($C83="","",COUNTIFS('3 Nhật ký dừng máy'!$A$6:$A$1005,$A83,'3 Nhật ký dừng máy'!$B$6:$B$1005,$B83,'3 Nhật ký dừng máy'!$C$6:$C$1005,$C83,'3 Nhật ký dừng máy'!$K$6:$K$1005,"Ngoài kế hoạch"))</f>
        <v/>
      </c>
      <c r="S83" s="31" t="str">
        <f t="shared" si="15"/>
        <v/>
      </c>
      <c r="T83" s="31" t="str">
        <f t="shared" si="16"/>
        <v/>
      </c>
      <c r="U83" s="31" t="str">
        <f t="shared" si="17"/>
        <v/>
      </c>
      <c r="V83" s="32" t="str">
        <f t="shared" si="18"/>
        <v/>
      </c>
      <c r="W83" s="30" t="str">
        <f t="shared" si="19"/>
        <v/>
      </c>
      <c r="X83" s="33" t="str">
        <f t="shared" si="20"/>
        <v/>
      </c>
      <c r="Y83" s="34" t="str">
        <f t="shared" si="21"/>
        <v/>
      </c>
    </row>
    <row r="84" spans="1:25" x14ac:dyDescent="0.2">
      <c r="A84" s="35"/>
      <c r="B84" s="21"/>
      <c r="C84" s="18"/>
      <c r="D84" s="21"/>
      <c r="E84" s="21"/>
      <c r="F84" s="21"/>
      <c r="G84" s="36"/>
      <c r="H84" s="36"/>
      <c r="I84" s="36"/>
      <c r="J84" s="37"/>
      <c r="K84" s="18"/>
      <c r="L84" s="28" t="str">
        <f t="shared" si="11"/>
        <v/>
      </c>
      <c r="M84" s="29" t="str">
        <f t="shared" si="12"/>
        <v/>
      </c>
      <c r="N84" s="29" t="str">
        <f t="shared" si="13"/>
        <v/>
      </c>
      <c r="O84" s="30" t="str">
        <f t="shared" si="14"/>
        <v/>
      </c>
      <c r="P84" s="28" t="str">
        <f>IF($C84="","",IFERROR(INDEX(CA_TG,MATCH(B84,DS_CA,0))-INDEX(CA_NGHI,MATCH(B84,DS_CA,0))-SUMIFS('3 Nhật ký dừng máy'!$I$6:$I$1005,'3 Nhật ký dừng máy'!$A$6:$A$1005,$A84,'3 Nhật ký dừng máy'!$B$6:$B$1005,$B84,'3 Nhật ký dừng máy'!$C$6:$C$1005,$C84,'3 Nhật ký dừng máy'!$K$6:$K$1005,"Có kế hoạch"),"?"))</f>
        <v/>
      </c>
      <c r="Q84" s="28" t="str">
        <f>IF($C84="","",SUMIFS('3 Nhật ký dừng máy'!$I$6:$I$1005,'3 Nhật ký dừng máy'!$A$6:$A$1005,$A84,'3 Nhật ký dừng máy'!$B$6:$B$1005,$B84,'3 Nhật ký dừng máy'!$C$6:$C$1005,$C84,'3 Nhật ký dừng máy'!$K$6:$K$1005,"Ngoài kế hoạch"))</f>
        <v/>
      </c>
      <c r="R84" s="30" t="str">
        <f>IF($C84="","",COUNTIFS('3 Nhật ký dừng máy'!$A$6:$A$1005,$A84,'3 Nhật ký dừng máy'!$B$6:$B$1005,$B84,'3 Nhật ký dừng máy'!$C$6:$C$1005,$C84,'3 Nhật ký dừng máy'!$K$6:$K$1005,"Ngoài kế hoạch"))</f>
        <v/>
      </c>
      <c r="S84" s="31" t="str">
        <f t="shared" si="15"/>
        <v/>
      </c>
      <c r="T84" s="31" t="str">
        <f t="shared" si="16"/>
        <v/>
      </c>
      <c r="U84" s="31" t="str">
        <f t="shared" si="17"/>
        <v/>
      </c>
      <c r="V84" s="32" t="str">
        <f t="shared" si="18"/>
        <v/>
      </c>
      <c r="W84" s="30" t="str">
        <f t="shared" si="19"/>
        <v/>
      </c>
      <c r="X84" s="33" t="str">
        <f t="shared" si="20"/>
        <v/>
      </c>
      <c r="Y84" s="34" t="str">
        <f t="shared" si="21"/>
        <v/>
      </c>
    </row>
    <row r="85" spans="1:25" x14ac:dyDescent="0.2">
      <c r="A85" s="35"/>
      <c r="B85" s="21"/>
      <c r="C85" s="18"/>
      <c r="D85" s="21"/>
      <c r="E85" s="21"/>
      <c r="F85" s="21"/>
      <c r="G85" s="36"/>
      <c r="H85" s="36"/>
      <c r="I85" s="36"/>
      <c r="J85" s="37"/>
      <c r="K85" s="18"/>
      <c r="L85" s="28" t="str">
        <f t="shared" si="11"/>
        <v/>
      </c>
      <c r="M85" s="29" t="str">
        <f t="shared" si="12"/>
        <v/>
      </c>
      <c r="N85" s="29" t="str">
        <f t="shared" si="13"/>
        <v/>
      </c>
      <c r="O85" s="30" t="str">
        <f t="shared" si="14"/>
        <v/>
      </c>
      <c r="P85" s="28" t="str">
        <f>IF($C85="","",IFERROR(INDEX(CA_TG,MATCH(B85,DS_CA,0))-INDEX(CA_NGHI,MATCH(B85,DS_CA,0))-SUMIFS('3 Nhật ký dừng máy'!$I$6:$I$1005,'3 Nhật ký dừng máy'!$A$6:$A$1005,$A85,'3 Nhật ký dừng máy'!$B$6:$B$1005,$B85,'3 Nhật ký dừng máy'!$C$6:$C$1005,$C85,'3 Nhật ký dừng máy'!$K$6:$K$1005,"Có kế hoạch"),"?"))</f>
        <v/>
      </c>
      <c r="Q85" s="28" t="str">
        <f>IF($C85="","",SUMIFS('3 Nhật ký dừng máy'!$I$6:$I$1005,'3 Nhật ký dừng máy'!$A$6:$A$1005,$A85,'3 Nhật ký dừng máy'!$B$6:$B$1005,$B85,'3 Nhật ký dừng máy'!$C$6:$C$1005,$C85,'3 Nhật ký dừng máy'!$K$6:$K$1005,"Ngoài kế hoạch"))</f>
        <v/>
      </c>
      <c r="R85" s="30" t="str">
        <f>IF($C85="","",COUNTIFS('3 Nhật ký dừng máy'!$A$6:$A$1005,$A85,'3 Nhật ký dừng máy'!$B$6:$B$1005,$B85,'3 Nhật ký dừng máy'!$C$6:$C$1005,$C85,'3 Nhật ký dừng máy'!$K$6:$K$1005,"Ngoài kế hoạch"))</f>
        <v/>
      </c>
      <c r="S85" s="31" t="str">
        <f t="shared" si="15"/>
        <v/>
      </c>
      <c r="T85" s="31" t="str">
        <f t="shared" si="16"/>
        <v/>
      </c>
      <c r="U85" s="31" t="str">
        <f t="shared" si="17"/>
        <v/>
      </c>
      <c r="V85" s="32" t="str">
        <f t="shared" si="18"/>
        <v/>
      </c>
      <c r="W85" s="30" t="str">
        <f t="shared" si="19"/>
        <v/>
      </c>
      <c r="X85" s="33" t="str">
        <f t="shared" si="20"/>
        <v/>
      </c>
      <c r="Y85" s="34" t="str">
        <f t="shared" si="21"/>
        <v/>
      </c>
    </row>
    <row r="86" spans="1:25" x14ac:dyDescent="0.2">
      <c r="A86" s="35"/>
      <c r="B86" s="21"/>
      <c r="C86" s="18"/>
      <c r="D86" s="21"/>
      <c r="E86" s="21"/>
      <c r="F86" s="21"/>
      <c r="G86" s="36"/>
      <c r="H86" s="36"/>
      <c r="I86" s="36"/>
      <c r="J86" s="37"/>
      <c r="K86" s="18"/>
      <c r="L86" s="28" t="str">
        <f t="shared" si="11"/>
        <v/>
      </c>
      <c r="M86" s="29" t="str">
        <f t="shared" si="12"/>
        <v/>
      </c>
      <c r="N86" s="29" t="str">
        <f t="shared" si="13"/>
        <v/>
      </c>
      <c r="O86" s="30" t="str">
        <f t="shared" si="14"/>
        <v/>
      </c>
      <c r="P86" s="28" t="str">
        <f>IF($C86="","",IFERROR(INDEX(CA_TG,MATCH(B86,DS_CA,0))-INDEX(CA_NGHI,MATCH(B86,DS_CA,0))-SUMIFS('3 Nhật ký dừng máy'!$I$6:$I$1005,'3 Nhật ký dừng máy'!$A$6:$A$1005,$A86,'3 Nhật ký dừng máy'!$B$6:$B$1005,$B86,'3 Nhật ký dừng máy'!$C$6:$C$1005,$C86,'3 Nhật ký dừng máy'!$K$6:$K$1005,"Có kế hoạch"),"?"))</f>
        <v/>
      </c>
      <c r="Q86" s="28" t="str">
        <f>IF($C86="","",SUMIFS('3 Nhật ký dừng máy'!$I$6:$I$1005,'3 Nhật ký dừng máy'!$A$6:$A$1005,$A86,'3 Nhật ký dừng máy'!$B$6:$B$1005,$B86,'3 Nhật ký dừng máy'!$C$6:$C$1005,$C86,'3 Nhật ký dừng máy'!$K$6:$K$1005,"Ngoài kế hoạch"))</f>
        <v/>
      </c>
      <c r="R86" s="30" t="str">
        <f>IF($C86="","",COUNTIFS('3 Nhật ký dừng máy'!$A$6:$A$1005,$A86,'3 Nhật ký dừng máy'!$B$6:$B$1005,$B86,'3 Nhật ký dừng máy'!$C$6:$C$1005,$C86,'3 Nhật ký dừng máy'!$K$6:$K$1005,"Ngoài kế hoạch"))</f>
        <v/>
      </c>
      <c r="S86" s="31" t="str">
        <f t="shared" si="15"/>
        <v/>
      </c>
      <c r="T86" s="31" t="str">
        <f t="shared" si="16"/>
        <v/>
      </c>
      <c r="U86" s="31" t="str">
        <f t="shared" si="17"/>
        <v/>
      </c>
      <c r="V86" s="32" t="str">
        <f t="shared" si="18"/>
        <v/>
      </c>
      <c r="W86" s="30" t="str">
        <f t="shared" si="19"/>
        <v/>
      </c>
      <c r="X86" s="33" t="str">
        <f t="shared" si="20"/>
        <v/>
      </c>
      <c r="Y86" s="34" t="str">
        <f t="shared" si="21"/>
        <v/>
      </c>
    </row>
    <row r="87" spans="1:25" x14ac:dyDescent="0.2">
      <c r="A87" s="35"/>
      <c r="B87" s="21"/>
      <c r="C87" s="18"/>
      <c r="D87" s="21"/>
      <c r="E87" s="21"/>
      <c r="F87" s="21"/>
      <c r="G87" s="36"/>
      <c r="H87" s="36"/>
      <c r="I87" s="36"/>
      <c r="J87" s="37"/>
      <c r="K87" s="18"/>
      <c r="L87" s="28" t="str">
        <f t="shared" si="11"/>
        <v/>
      </c>
      <c r="M87" s="29" t="str">
        <f t="shared" si="12"/>
        <v/>
      </c>
      <c r="N87" s="29" t="str">
        <f t="shared" si="13"/>
        <v/>
      </c>
      <c r="O87" s="30" t="str">
        <f t="shared" si="14"/>
        <v/>
      </c>
      <c r="P87" s="28" t="str">
        <f>IF($C87="","",IFERROR(INDEX(CA_TG,MATCH(B87,DS_CA,0))-INDEX(CA_NGHI,MATCH(B87,DS_CA,0))-SUMIFS('3 Nhật ký dừng máy'!$I$6:$I$1005,'3 Nhật ký dừng máy'!$A$6:$A$1005,$A87,'3 Nhật ký dừng máy'!$B$6:$B$1005,$B87,'3 Nhật ký dừng máy'!$C$6:$C$1005,$C87,'3 Nhật ký dừng máy'!$K$6:$K$1005,"Có kế hoạch"),"?"))</f>
        <v/>
      </c>
      <c r="Q87" s="28" t="str">
        <f>IF($C87="","",SUMIFS('3 Nhật ký dừng máy'!$I$6:$I$1005,'3 Nhật ký dừng máy'!$A$6:$A$1005,$A87,'3 Nhật ký dừng máy'!$B$6:$B$1005,$B87,'3 Nhật ký dừng máy'!$C$6:$C$1005,$C87,'3 Nhật ký dừng máy'!$K$6:$K$1005,"Ngoài kế hoạch"))</f>
        <v/>
      </c>
      <c r="R87" s="30" t="str">
        <f>IF($C87="","",COUNTIFS('3 Nhật ký dừng máy'!$A$6:$A$1005,$A87,'3 Nhật ký dừng máy'!$B$6:$B$1005,$B87,'3 Nhật ký dừng máy'!$C$6:$C$1005,$C87,'3 Nhật ký dừng máy'!$K$6:$K$1005,"Ngoài kế hoạch"))</f>
        <v/>
      </c>
      <c r="S87" s="31" t="str">
        <f t="shared" si="15"/>
        <v/>
      </c>
      <c r="T87" s="31" t="str">
        <f t="shared" si="16"/>
        <v/>
      </c>
      <c r="U87" s="31" t="str">
        <f t="shared" si="17"/>
        <v/>
      </c>
      <c r="V87" s="32" t="str">
        <f t="shared" si="18"/>
        <v/>
      </c>
      <c r="W87" s="30" t="str">
        <f t="shared" si="19"/>
        <v/>
      </c>
      <c r="X87" s="33" t="str">
        <f t="shared" si="20"/>
        <v/>
      </c>
      <c r="Y87" s="34" t="str">
        <f t="shared" si="21"/>
        <v/>
      </c>
    </row>
    <row r="88" spans="1:25" x14ac:dyDescent="0.2">
      <c r="A88" s="35"/>
      <c r="B88" s="21"/>
      <c r="C88" s="18"/>
      <c r="D88" s="21"/>
      <c r="E88" s="21"/>
      <c r="F88" s="21"/>
      <c r="G88" s="36"/>
      <c r="H88" s="36"/>
      <c r="I88" s="36"/>
      <c r="J88" s="37"/>
      <c r="K88" s="18"/>
      <c r="L88" s="28" t="str">
        <f t="shared" si="11"/>
        <v/>
      </c>
      <c r="M88" s="29" t="str">
        <f t="shared" si="12"/>
        <v/>
      </c>
      <c r="N88" s="29" t="str">
        <f t="shared" si="13"/>
        <v/>
      </c>
      <c r="O88" s="30" t="str">
        <f t="shared" si="14"/>
        <v/>
      </c>
      <c r="P88" s="28" t="str">
        <f>IF($C88="","",IFERROR(INDEX(CA_TG,MATCH(B88,DS_CA,0))-INDEX(CA_NGHI,MATCH(B88,DS_CA,0))-SUMIFS('3 Nhật ký dừng máy'!$I$6:$I$1005,'3 Nhật ký dừng máy'!$A$6:$A$1005,$A88,'3 Nhật ký dừng máy'!$B$6:$B$1005,$B88,'3 Nhật ký dừng máy'!$C$6:$C$1005,$C88,'3 Nhật ký dừng máy'!$K$6:$K$1005,"Có kế hoạch"),"?"))</f>
        <v/>
      </c>
      <c r="Q88" s="28" t="str">
        <f>IF($C88="","",SUMIFS('3 Nhật ký dừng máy'!$I$6:$I$1005,'3 Nhật ký dừng máy'!$A$6:$A$1005,$A88,'3 Nhật ký dừng máy'!$B$6:$B$1005,$B88,'3 Nhật ký dừng máy'!$C$6:$C$1005,$C88,'3 Nhật ký dừng máy'!$K$6:$K$1005,"Ngoài kế hoạch"))</f>
        <v/>
      </c>
      <c r="R88" s="30" t="str">
        <f>IF($C88="","",COUNTIFS('3 Nhật ký dừng máy'!$A$6:$A$1005,$A88,'3 Nhật ký dừng máy'!$B$6:$B$1005,$B88,'3 Nhật ký dừng máy'!$C$6:$C$1005,$C88,'3 Nhật ký dừng máy'!$K$6:$K$1005,"Ngoài kế hoạch"))</f>
        <v/>
      </c>
      <c r="S88" s="31" t="str">
        <f t="shared" si="15"/>
        <v/>
      </c>
      <c r="T88" s="31" t="str">
        <f t="shared" si="16"/>
        <v/>
      </c>
      <c r="U88" s="31" t="str">
        <f t="shared" si="17"/>
        <v/>
      </c>
      <c r="V88" s="32" t="str">
        <f t="shared" si="18"/>
        <v/>
      </c>
      <c r="W88" s="30" t="str">
        <f t="shared" si="19"/>
        <v/>
      </c>
      <c r="X88" s="33" t="str">
        <f t="shared" si="20"/>
        <v/>
      </c>
      <c r="Y88" s="34" t="str">
        <f t="shared" si="21"/>
        <v/>
      </c>
    </row>
    <row r="89" spans="1:25" x14ac:dyDescent="0.2">
      <c r="A89" s="35"/>
      <c r="B89" s="21"/>
      <c r="C89" s="18"/>
      <c r="D89" s="21"/>
      <c r="E89" s="21"/>
      <c r="F89" s="21"/>
      <c r="G89" s="36"/>
      <c r="H89" s="36"/>
      <c r="I89" s="36"/>
      <c r="J89" s="37"/>
      <c r="K89" s="18"/>
      <c r="L89" s="28" t="str">
        <f t="shared" si="11"/>
        <v/>
      </c>
      <c r="M89" s="29" t="str">
        <f t="shared" si="12"/>
        <v/>
      </c>
      <c r="N89" s="29" t="str">
        <f t="shared" si="13"/>
        <v/>
      </c>
      <c r="O89" s="30" t="str">
        <f t="shared" si="14"/>
        <v/>
      </c>
      <c r="P89" s="28" t="str">
        <f>IF($C89="","",IFERROR(INDEX(CA_TG,MATCH(B89,DS_CA,0))-INDEX(CA_NGHI,MATCH(B89,DS_CA,0))-SUMIFS('3 Nhật ký dừng máy'!$I$6:$I$1005,'3 Nhật ký dừng máy'!$A$6:$A$1005,$A89,'3 Nhật ký dừng máy'!$B$6:$B$1005,$B89,'3 Nhật ký dừng máy'!$C$6:$C$1005,$C89,'3 Nhật ký dừng máy'!$K$6:$K$1005,"Có kế hoạch"),"?"))</f>
        <v/>
      </c>
      <c r="Q89" s="28" t="str">
        <f>IF($C89="","",SUMIFS('3 Nhật ký dừng máy'!$I$6:$I$1005,'3 Nhật ký dừng máy'!$A$6:$A$1005,$A89,'3 Nhật ký dừng máy'!$B$6:$B$1005,$B89,'3 Nhật ký dừng máy'!$C$6:$C$1005,$C89,'3 Nhật ký dừng máy'!$K$6:$K$1005,"Ngoài kế hoạch"))</f>
        <v/>
      </c>
      <c r="R89" s="30" t="str">
        <f>IF($C89="","",COUNTIFS('3 Nhật ký dừng máy'!$A$6:$A$1005,$A89,'3 Nhật ký dừng máy'!$B$6:$B$1005,$B89,'3 Nhật ký dừng máy'!$C$6:$C$1005,$C89,'3 Nhật ký dừng máy'!$K$6:$K$1005,"Ngoài kế hoạch"))</f>
        <v/>
      </c>
      <c r="S89" s="31" t="str">
        <f t="shared" si="15"/>
        <v/>
      </c>
      <c r="T89" s="31" t="str">
        <f t="shared" si="16"/>
        <v/>
      </c>
      <c r="U89" s="31" t="str">
        <f t="shared" si="17"/>
        <v/>
      </c>
      <c r="V89" s="32" t="str">
        <f t="shared" si="18"/>
        <v/>
      </c>
      <c r="W89" s="30" t="str">
        <f t="shared" si="19"/>
        <v/>
      </c>
      <c r="X89" s="33" t="str">
        <f t="shared" si="20"/>
        <v/>
      </c>
      <c r="Y89" s="34" t="str">
        <f t="shared" si="21"/>
        <v/>
      </c>
    </row>
    <row r="90" spans="1:25" x14ac:dyDescent="0.2">
      <c r="A90" s="35"/>
      <c r="B90" s="21"/>
      <c r="C90" s="18"/>
      <c r="D90" s="21"/>
      <c r="E90" s="21"/>
      <c r="F90" s="21"/>
      <c r="G90" s="36"/>
      <c r="H90" s="36"/>
      <c r="I90" s="36"/>
      <c r="J90" s="37"/>
      <c r="K90" s="18"/>
      <c r="L90" s="28" t="str">
        <f t="shared" si="11"/>
        <v/>
      </c>
      <c r="M90" s="29" t="str">
        <f t="shared" si="12"/>
        <v/>
      </c>
      <c r="N90" s="29" t="str">
        <f t="shared" si="13"/>
        <v/>
      </c>
      <c r="O90" s="30" t="str">
        <f t="shared" si="14"/>
        <v/>
      </c>
      <c r="P90" s="28" t="str">
        <f>IF($C90="","",IFERROR(INDEX(CA_TG,MATCH(B90,DS_CA,0))-INDEX(CA_NGHI,MATCH(B90,DS_CA,0))-SUMIFS('3 Nhật ký dừng máy'!$I$6:$I$1005,'3 Nhật ký dừng máy'!$A$6:$A$1005,$A90,'3 Nhật ký dừng máy'!$B$6:$B$1005,$B90,'3 Nhật ký dừng máy'!$C$6:$C$1005,$C90,'3 Nhật ký dừng máy'!$K$6:$K$1005,"Có kế hoạch"),"?"))</f>
        <v/>
      </c>
      <c r="Q90" s="28" t="str">
        <f>IF($C90="","",SUMIFS('3 Nhật ký dừng máy'!$I$6:$I$1005,'3 Nhật ký dừng máy'!$A$6:$A$1005,$A90,'3 Nhật ký dừng máy'!$B$6:$B$1005,$B90,'3 Nhật ký dừng máy'!$C$6:$C$1005,$C90,'3 Nhật ký dừng máy'!$K$6:$K$1005,"Ngoài kế hoạch"))</f>
        <v/>
      </c>
      <c r="R90" s="30" t="str">
        <f>IF($C90="","",COUNTIFS('3 Nhật ký dừng máy'!$A$6:$A$1005,$A90,'3 Nhật ký dừng máy'!$B$6:$B$1005,$B90,'3 Nhật ký dừng máy'!$C$6:$C$1005,$C90,'3 Nhật ký dừng máy'!$K$6:$K$1005,"Ngoài kế hoạch"))</f>
        <v/>
      </c>
      <c r="S90" s="31" t="str">
        <f t="shared" si="15"/>
        <v/>
      </c>
      <c r="T90" s="31" t="str">
        <f t="shared" si="16"/>
        <v/>
      </c>
      <c r="U90" s="31" t="str">
        <f t="shared" si="17"/>
        <v/>
      </c>
      <c r="V90" s="32" t="str">
        <f t="shared" si="18"/>
        <v/>
      </c>
      <c r="W90" s="30" t="str">
        <f t="shared" si="19"/>
        <v/>
      </c>
      <c r="X90" s="33" t="str">
        <f t="shared" si="20"/>
        <v/>
      </c>
      <c r="Y90" s="34" t="str">
        <f t="shared" si="21"/>
        <v/>
      </c>
    </row>
    <row r="91" spans="1:25" x14ac:dyDescent="0.2">
      <c r="A91" s="35"/>
      <c r="B91" s="21"/>
      <c r="C91" s="18"/>
      <c r="D91" s="21"/>
      <c r="E91" s="21"/>
      <c r="F91" s="21"/>
      <c r="G91" s="36"/>
      <c r="H91" s="36"/>
      <c r="I91" s="36"/>
      <c r="J91" s="37"/>
      <c r="K91" s="18"/>
      <c r="L91" s="28" t="str">
        <f t="shared" si="11"/>
        <v/>
      </c>
      <c r="M91" s="29" t="str">
        <f t="shared" si="12"/>
        <v/>
      </c>
      <c r="N91" s="29" t="str">
        <f t="shared" si="13"/>
        <v/>
      </c>
      <c r="O91" s="30" t="str">
        <f t="shared" si="14"/>
        <v/>
      </c>
      <c r="P91" s="28" t="str">
        <f>IF($C91="","",IFERROR(INDEX(CA_TG,MATCH(B91,DS_CA,0))-INDEX(CA_NGHI,MATCH(B91,DS_CA,0))-SUMIFS('3 Nhật ký dừng máy'!$I$6:$I$1005,'3 Nhật ký dừng máy'!$A$6:$A$1005,$A91,'3 Nhật ký dừng máy'!$B$6:$B$1005,$B91,'3 Nhật ký dừng máy'!$C$6:$C$1005,$C91,'3 Nhật ký dừng máy'!$K$6:$K$1005,"Có kế hoạch"),"?"))</f>
        <v/>
      </c>
      <c r="Q91" s="28" t="str">
        <f>IF($C91="","",SUMIFS('3 Nhật ký dừng máy'!$I$6:$I$1005,'3 Nhật ký dừng máy'!$A$6:$A$1005,$A91,'3 Nhật ký dừng máy'!$B$6:$B$1005,$B91,'3 Nhật ký dừng máy'!$C$6:$C$1005,$C91,'3 Nhật ký dừng máy'!$K$6:$K$1005,"Ngoài kế hoạch"))</f>
        <v/>
      </c>
      <c r="R91" s="30" t="str">
        <f>IF($C91="","",COUNTIFS('3 Nhật ký dừng máy'!$A$6:$A$1005,$A91,'3 Nhật ký dừng máy'!$B$6:$B$1005,$B91,'3 Nhật ký dừng máy'!$C$6:$C$1005,$C91,'3 Nhật ký dừng máy'!$K$6:$K$1005,"Ngoài kế hoạch"))</f>
        <v/>
      </c>
      <c r="S91" s="31" t="str">
        <f t="shared" si="15"/>
        <v/>
      </c>
      <c r="T91" s="31" t="str">
        <f t="shared" si="16"/>
        <v/>
      </c>
      <c r="U91" s="31" t="str">
        <f t="shared" si="17"/>
        <v/>
      </c>
      <c r="V91" s="32" t="str">
        <f t="shared" si="18"/>
        <v/>
      </c>
      <c r="W91" s="30" t="str">
        <f t="shared" si="19"/>
        <v/>
      </c>
      <c r="X91" s="33" t="str">
        <f t="shared" si="20"/>
        <v/>
      </c>
      <c r="Y91" s="34" t="str">
        <f t="shared" si="21"/>
        <v/>
      </c>
    </row>
    <row r="92" spans="1:25" x14ac:dyDescent="0.2">
      <c r="A92" s="35"/>
      <c r="B92" s="21"/>
      <c r="C92" s="18"/>
      <c r="D92" s="21"/>
      <c r="E92" s="21"/>
      <c r="F92" s="21"/>
      <c r="G92" s="36"/>
      <c r="H92" s="36"/>
      <c r="I92" s="36"/>
      <c r="J92" s="37"/>
      <c r="K92" s="18"/>
      <c r="L92" s="28" t="str">
        <f t="shared" si="11"/>
        <v/>
      </c>
      <c r="M92" s="29" t="str">
        <f t="shared" si="12"/>
        <v/>
      </c>
      <c r="N92" s="29" t="str">
        <f t="shared" si="13"/>
        <v/>
      </c>
      <c r="O92" s="30" t="str">
        <f t="shared" si="14"/>
        <v/>
      </c>
      <c r="P92" s="28" t="str">
        <f>IF($C92="","",IFERROR(INDEX(CA_TG,MATCH(B92,DS_CA,0))-INDEX(CA_NGHI,MATCH(B92,DS_CA,0))-SUMIFS('3 Nhật ký dừng máy'!$I$6:$I$1005,'3 Nhật ký dừng máy'!$A$6:$A$1005,$A92,'3 Nhật ký dừng máy'!$B$6:$B$1005,$B92,'3 Nhật ký dừng máy'!$C$6:$C$1005,$C92,'3 Nhật ký dừng máy'!$K$6:$K$1005,"Có kế hoạch"),"?"))</f>
        <v/>
      </c>
      <c r="Q92" s="28" t="str">
        <f>IF($C92="","",SUMIFS('3 Nhật ký dừng máy'!$I$6:$I$1005,'3 Nhật ký dừng máy'!$A$6:$A$1005,$A92,'3 Nhật ký dừng máy'!$B$6:$B$1005,$B92,'3 Nhật ký dừng máy'!$C$6:$C$1005,$C92,'3 Nhật ký dừng máy'!$K$6:$K$1005,"Ngoài kế hoạch"))</f>
        <v/>
      </c>
      <c r="R92" s="30" t="str">
        <f>IF($C92="","",COUNTIFS('3 Nhật ký dừng máy'!$A$6:$A$1005,$A92,'3 Nhật ký dừng máy'!$B$6:$B$1005,$B92,'3 Nhật ký dừng máy'!$C$6:$C$1005,$C92,'3 Nhật ký dừng máy'!$K$6:$K$1005,"Ngoài kế hoạch"))</f>
        <v/>
      </c>
      <c r="S92" s="31" t="str">
        <f t="shared" si="15"/>
        <v/>
      </c>
      <c r="T92" s="31" t="str">
        <f t="shared" si="16"/>
        <v/>
      </c>
      <c r="U92" s="31" t="str">
        <f t="shared" si="17"/>
        <v/>
      </c>
      <c r="V92" s="32" t="str">
        <f t="shared" si="18"/>
        <v/>
      </c>
      <c r="W92" s="30" t="str">
        <f t="shared" si="19"/>
        <v/>
      </c>
      <c r="X92" s="33" t="str">
        <f t="shared" si="20"/>
        <v/>
      </c>
      <c r="Y92" s="34" t="str">
        <f t="shared" si="21"/>
        <v/>
      </c>
    </row>
    <row r="93" spans="1:25" x14ac:dyDescent="0.2">
      <c r="A93" s="35"/>
      <c r="B93" s="21"/>
      <c r="C93" s="18"/>
      <c r="D93" s="21"/>
      <c r="E93" s="21"/>
      <c r="F93" s="21"/>
      <c r="G93" s="36"/>
      <c r="H93" s="36"/>
      <c r="I93" s="36"/>
      <c r="J93" s="37"/>
      <c r="K93" s="18"/>
      <c r="L93" s="28" t="str">
        <f t="shared" si="11"/>
        <v/>
      </c>
      <c r="M93" s="29" t="str">
        <f t="shared" si="12"/>
        <v/>
      </c>
      <c r="N93" s="29" t="str">
        <f t="shared" si="13"/>
        <v/>
      </c>
      <c r="O93" s="30" t="str">
        <f t="shared" si="14"/>
        <v/>
      </c>
      <c r="P93" s="28" t="str">
        <f>IF($C93="","",IFERROR(INDEX(CA_TG,MATCH(B93,DS_CA,0))-INDEX(CA_NGHI,MATCH(B93,DS_CA,0))-SUMIFS('3 Nhật ký dừng máy'!$I$6:$I$1005,'3 Nhật ký dừng máy'!$A$6:$A$1005,$A93,'3 Nhật ký dừng máy'!$B$6:$B$1005,$B93,'3 Nhật ký dừng máy'!$C$6:$C$1005,$C93,'3 Nhật ký dừng máy'!$K$6:$K$1005,"Có kế hoạch"),"?"))</f>
        <v/>
      </c>
      <c r="Q93" s="28" t="str">
        <f>IF($C93="","",SUMIFS('3 Nhật ký dừng máy'!$I$6:$I$1005,'3 Nhật ký dừng máy'!$A$6:$A$1005,$A93,'3 Nhật ký dừng máy'!$B$6:$B$1005,$B93,'3 Nhật ký dừng máy'!$C$6:$C$1005,$C93,'3 Nhật ký dừng máy'!$K$6:$K$1005,"Ngoài kế hoạch"))</f>
        <v/>
      </c>
      <c r="R93" s="30" t="str">
        <f>IF($C93="","",COUNTIFS('3 Nhật ký dừng máy'!$A$6:$A$1005,$A93,'3 Nhật ký dừng máy'!$B$6:$B$1005,$B93,'3 Nhật ký dừng máy'!$C$6:$C$1005,$C93,'3 Nhật ký dừng máy'!$K$6:$K$1005,"Ngoài kế hoạch"))</f>
        <v/>
      </c>
      <c r="S93" s="31" t="str">
        <f t="shared" si="15"/>
        <v/>
      </c>
      <c r="T93" s="31" t="str">
        <f t="shared" si="16"/>
        <v/>
      </c>
      <c r="U93" s="31" t="str">
        <f t="shared" si="17"/>
        <v/>
      </c>
      <c r="V93" s="32" t="str">
        <f t="shared" si="18"/>
        <v/>
      </c>
      <c r="W93" s="30" t="str">
        <f t="shared" si="19"/>
        <v/>
      </c>
      <c r="X93" s="33" t="str">
        <f t="shared" si="20"/>
        <v/>
      </c>
      <c r="Y93" s="34" t="str">
        <f t="shared" si="21"/>
        <v/>
      </c>
    </row>
    <row r="94" spans="1:25" x14ac:dyDescent="0.2">
      <c r="A94" s="35"/>
      <c r="B94" s="21"/>
      <c r="C94" s="18"/>
      <c r="D94" s="21"/>
      <c r="E94" s="21"/>
      <c r="F94" s="21"/>
      <c r="G94" s="36"/>
      <c r="H94" s="36"/>
      <c r="I94" s="36"/>
      <c r="J94" s="37"/>
      <c r="K94" s="18"/>
      <c r="L94" s="28" t="str">
        <f t="shared" si="11"/>
        <v/>
      </c>
      <c r="M94" s="29" t="str">
        <f t="shared" si="12"/>
        <v/>
      </c>
      <c r="N94" s="29" t="str">
        <f t="shared" si="13"/>
        <v/>
      </c>
      <c r="O94" s="30" t="str">
        <f t="shared" si="14"/>
        <v/>
      </c>
      <c r="P94" s="28" t="str">
        <f>IF($C94="","",IFERROR(INDEX(CA_TG,MATCH(B94,DS_CA,0))-INDEX(CA_NGHI,MATCH(B94,DS_CA,0))-SUMIFS('3 Nhật ký dừng máy'!$I$6:$I$1005,'3 Nhật ký dừng máy'!$A$6:$A$1005,$A94,'3 Nhật ký dừng máy'!$B$6:$B$1005,$B94,'3 Nhật ký dừng máy'!$C$6:$C$1005,$C94,'3 Nhật ký dừng máy'!$K$6:$K$1005,"Có kế hoạch"),"?"))</f>
        <v/>
      </c>
      <c r="Q94" s="28" t="str">
        <f>IF($C94="","",SUMIFS('3 Nhật ký dừng máy'!$I$6:$I$1005,'3 Nhật ký dừng máy'!$A$6:$A$1005,$A94,'3 Nhật ký dừng máy'!$B$6:$B$1005,$B94,'3 Nhật ký dừng máy'!$C$6:$C$1005,$C94,'3 Nhật ký dừng máy'!$K$6:$K$1005,"Ngoài kế hoạch"))</f>
        <v/>
      </c>
      <c r="R94" s="30" t="str">
        <f>IF($C94="","",COUNTIFS('3 Nhật ký dừng máy'!$A$6:$A$1005,$A94,'3 Nhật ký dừng máy'!$B$6:$B$1005,$B94,'3 Nhật ký dừng máy'!$C$6:$C$1005,$C94,'3 Nhật ký dừng máy'!$K$6:$K$1005,"Ngoài kế hoạch"))</f>
        <v/>
      </c>
      <c r="S94" s="31" t="str">
        <f t="shared" si="15"/>
        <v/>
      </c>
      <c r="T94" s="31" t="str">
        <f t="shared" si="16"/>
        <v/>
      </c>
      <c r="U94" s="31" t="str">
        <f t="shared" si="17"/>
        <v/>
      </c>
      <c r="V94" s="32" t="str">
        <f t="shared" si="18"/>
        <v/>
      </c>
      <c r="W94" s="30" t="str">
        <f t="shared" si="19"/>
        <v/>
      </c>
      <c r="X94" s="33" t="str">
        <f t="shared" si="20"/>
        <v/>
      </c>
      <c r="Y94" s="34" t="str">
        <f t="shared" si="21"/>
        <v/>
      </c>
    </row>
    <row r="95" spans="1:25" x14ac:dyDescent="0.2">
      <c r="A95" s="35"/>
      <c r="B95" s="21"/>
      <c r="C95" s="18"/>
      <c r="D95" s="21"/>
      <c r="E95" s="21"/>
      <c r="F95" s="21"/>
      <c r="G95" s="36"/>
      <c r="H95" s="36"/>
      <c r="I95" s="36"/>
      <c r="J95" s="37"/>
      <c r="K95" s="18"/>
      <c r="L95" s="28" t="str">
        <f t="shared" si="11"/>
        <v/>
      </c>
      <c r="M95" s="29" t="str">
        <f t="shared" si="12"/>
        <v/>
      </c>
      <c r="N95" s="29" t="str">
        <f t="shared" si="13"/>
        <v/>
      </c>
      <c r="O95" s="30" t="str">
        <f t="shared" si="14"/>
        <v/>
      </c>
      <c r="P95" s="28" t="str">
        <f>IF($C95="","",IFERROR(INDEX(CA_TG,MATCH(B95,DS_CA,0))-INDEX(CA_NGHI,MATCH(B95,DS_CA,0))-SUMIFS('3 Nhật ký dừng máy'!$I$6:$I$1005,'3 Nhật ký dừng máy'!$A$6:$A$1005,$A95,'3 Nhật ký dừng máy'!$B$6:$B$1005,$B95,'3 Nhật ký dừng máy'!$C$6:$C$1005,$C95,'3 Nhật ký dừng máy'!$K$6:$K$1005,"Có kế hoạch"),"?"))</f>
        <v/>
      </c>
      <c r="Q95" s="28" t="str">
        <f>IF($C95="","",SUMIFS('3 Nhật ký dừng máy'!$I$6:$I$1005,'3 Nhật ký dừng máy'!$A$6:$A$1005,$A95,'3 Nhật ký dừng máy'!$B$6:$B$1005,$B95,'3 Nhật ký dừng máy'!$C$6:$C$1005,$C95,'3 Nhật ký dừng máy'!$K$6:$K$1005,"Ngoài kế hoạch"))</f>
        <v/>
      </c>
      <c r="R95" s="30" t="str">
        <f>IF($C95="","",COUNTIFS('3 Nhật ký dừng máy'!$A$6:$A$1005,$A95,'3 Nhật ký dừng máy'!$B$6:$B$1005,$B95,'3 Nhật ký dừng máy'!$C$6:$C$1005,$C95,'3 Nhật ký dừng máy'!$K$6:$K$1005,"Ngoài kế hoạch"))</f>
        <v/>
      </c>
      <c r="S95" s="31" t="str">
        <f t="shared" si="15"/>
        <v/>
      </c>
      <c r="T95" s="31" t="str">
        <f t="shared" si="16"/>
        <v/>
      </c>
      <c r="U95" s="31" t="str">
        <f t="shared" si="17"/>
        <v/>
      </c>
      <c r="V95" s="32" t="str">
        <f t="shared" si="18"/>
        <v/>
      </c>
      <c r="W95" s="30" t="str">
        <f t="shared" si="19"/>
        <v/>
      </c>
      <c r="X95" s="33" t="str">
        <f t="shared" si="20"/>
        <v/>
      </c>
      <c r="Y95" s="34" t="str">
        <f t="shared" si="21"/>
        <v/>
      </c>
    </row>
    <row r="96" spans="1:25" x14ac:dyDescent="0.2">
      <c r="A96" s="35"/>
      <c r="B96" s="21"/>
      <c r="C96" s="18"/>
      <c r="D96" s="21"/>
      <c r="E96" s="21"/>
      <c r="F96" s="21"/>
      <c r="G96" s="36"/>
      <c r="H96" s="36"/>
      <c r="I96" s="36"/>
      <c r="J96" s="37"/>
      <c r="K96" s="18"/>
      <c r="L96" s="28" t="str">
        <f t="shared" si="11"/>
        <v/>
      </c>
      <c r="M96" s="29" t="str">
        <f t="shared" si="12"/>
        <v/>
      </c>
      <c r="N96" s="29" t="str">
        <f t="shared" si="13"/>
        <v/>
      </c>
      <c r="O96" s="30" t="str">
        <f t="shared" si="14"/>
        <v/>
      </c>
      <c r="P96" s="28" t="str">
        <f>IF($C96="","",IFERROR(INDEX(CA_TG,MATCH(B96,DS_CA,0))-INDEX(CA_NGHI,MATCH(B96,DS_CA,0))-SUMIFS('3 Nhật ký dừng máy'!$I$6:$I$1005,'3 Nhật ký dừng máy'!$A$6:$A$1005,$A96,'3 Nhật ký dừng máy'!$B$6:$B$1005,$B96,'3 Nhật ký dừng máy'!$C$6:$C$1005,$C96,'3 Nhật ký dừng máy'!$K$6:$K$1005,"Có kế hoạch"),"?"))</f>
        <v/>
      </c>
      <c r="Q96" s="28" t="str">
        <f>IF($C96="","",SUMIFS('3 Nhật ký dừng máy'!$I$6:$I$1005,'3 Nhật ký dừng máy'!$A$6:$A$1005,$A96,'3 Nhật ký dừng máy'!$B$6:$B$1005,$B96,'3 Nhật ký dừng máy'!$C$6:$C$1005,$C96,'3 Nhật ký dừng máy'!$K$6:$K$1005,"Ngoài kế hoạch"))</f>
        <v/>
      </c>
      <c r="R96" s="30" t="str">
        <f>IF($C96="","",COUNTIFS('3 Nhật ký dừng máy'!$A$6:$A$1005,$A96,'3 Nhật ký dừng máy'!$B$6:$B$1005,$B96,'3 Nhật ký dừng máy'!$C$6:$C$1005,$C96,'3 Nhật ký dừng máy'!$K$6:$K$1005,"Ngoài kế hoạch"))</f>
        <v/>
      </c>
      <c r="S96" s="31" t="str">
        <f t="shared" si="15"/>
        <v/>
      </c>
      <c r="T96" s="31" t="str">
        <f t="shared" si="16"/>
        <v/>
      </c>
      <c r="U96" s="31" t="str">
        <f t="shared" si="17"/>
        <v/>
      </c>
      <c r="V96" s="32" t="str">
        <f t="shared" si="18"/>
        <v/>
      </c>
      <c r="W96" s="30" t="str">
        <f t="shared" si="19"/>
        <v/>
      </c>
      <c r="X96" s="33" t="str">
        <f t="shared" si="20"/>
        <v/>
      </c>
      <c r="Y96" s="34" t="str">
        <f t="shared" si="21"/>
        <v/>
      </c>
    </row>
    <row r="97" spans="1:25" x14ac:dyDescent="0.2">
      <c r="A97" s="35"/>
      <c r="B97" s="21"/>
      <c r="C97" s="18"/>
      <c r="D97" s="21"/>
      <c r="E97" s="21"/>
      <c r="F97" s="21"/>
      <c r="G97" s="36"/>
      <c r="H97" s="36"/>
      <c r="I97" s="36"/>
      <c r="J97" s="37"/>
      <c r="K97" s="18"/>
      <c r="L97" s="28" t="str">
        <f t="shared" si="11"/>
        <v/>
      </c>
      <c r="M97" s="29" t="str">
        <f t="shared" si="12"/>
        <v/>
      </c>
      <c r="N97" s="29" t="str">
        <f t="shared" si="13"/>
        <v/>
      </c>
      <c r="O97" s="30" t="str">
        <f t="shared" si="14"/>
        <v/>
      </c>
      <c r="P97" s="28" t="str">
        <f>IF($C97="","",IFERROR(INDEX(CA_TG,MATCH(B97,DS_CA,0))-INDEX(CA_NGHI,MATCH(B97,DS_CA,0))-SUMIFS('3 Nhật ký dừng máy'!$I$6:$I$1005,'3 Nhật ký dừng máy'!$A$6:$A$1005,$A97,'3 Nhật ký dừng máy'!$B$6:$B$1005,$B97,'3 Nhật ký dừng máy'!$C$6:$C$1005,$C97,'3 Nhật ký dừng máy'!$K$6:$K$1005,"Có kế hoạch"),"?"))</f>
        <v/>
      </c>
      <c r="Q97" s="28" t="str">
        <f>IF($C97="","",SUMIFS('3 Nhật ký dừng máy'!$I$6:$I$1005,'3 Nhật ký dừng máy'!$A$6:$A$1005,$A97,'3 Nhật ký dừng máy'!$B$6:$B$1005,$B97,'3 Nhật ký dừng máy'!$C$6:$C$1005,$C97,'3 Nhật ký dừng máy'!$K$6:$K$1005,"Ngoài kế hoạch"))</f>
        <v/>
      </c>
      <c r="R97" s="30" t="str">
        <f>IF($C97="","",COUNTIFS('3 Nhật ký dừng máy'!$A$6:$A$1005,$A97,'3 Nhật ký dừng máy'!$B$6:$B$1005,$B97,'3 Nhật ký dừng máy'!$C$6:$C$1005,$C97,'3 Nhật ký dừng máy'!$K$6:$K$1005,"Ngoài kế hoạch"))</f>
        <v/>
      </c>
      <c r="S97" s="31" t="str">
        <f t="shared" si="15"/>
        <v/>
      </c>
      <c r="T97" s="31" t="str">
        <f t="shared" si="16"/>
        <v/>
      </c>
      <c r="U97" s="31" t="str">
        <f t="shared" si="17"/>
        <v/>
      </c>
      <c r="V97" s="32" t="str">
        <f t="shared" si="18"/>
        <v/>
      </c>
      <c r="W97" s="30" t="str">
        <f t="shared" si="19"/>
        <v/>
      </c>
      <c r="X97" s="33" t="str">
        <f t="shared" si="20"/>
        <v/>
      </c>
      <c r="Y97" s="34" t="str">
        <f t="shared" si="21"/>
        <v/>
      </c>
    </row>
    <row r="98" spans="1:25" x14ac:dyDescent="0.2">
      <c r="A98" s="35"/>
      <c r="B98" s="21"/>
      <c r="C98" s="18"/>
      <c r="D98" s="21"/>
      <c r="E98" s="21"/>
      <c r="F98" s="21"/>
      <c r="G98" s="36"/>
      <c r="H98" s="36"/>
      <c r="I98" s="36"/>
      <c r="J98" s="37"/>
      <c r="K98" s="18"/>
      <c r="L98" s="28" t="str">
        <f t="shared" si="11"/>
        <v/>
      </c>
      <c r="M98" s="29" t="str">
        <f t="shared" si="12"/>
        <v/>
      </c>
      <c r="N98" s="29" t="str">
        <f t="shared" si="13"/>
        <v/>
      </c>
      <c r="O98" s="30" t="str">
        <f t="shared" si="14"/>
        <v/>
      </c>
      <c r="P98" s="28" t="str">
        <f>IF($C98="","",IFERROR(INDEX(CA_TG,MATCH(B98,DS_CA,0))-INDEX(CA_NGHI,MATCH(B98,DS_CA,0))-SUMIFS('3 Nhật ký dừng máy'!$I$6:$I$1005,'3 Nhật ký dừng máy'!$A$6:$A$1005,$A98,'3 Nhật ký dừng máy'!$B$6:$B$1005,$B98,'3 Nhật ký dừng máy'!$C$6:$C$1005,$C98,'3 Nhật ký dừng máy'!$K$6:$K$1005,"Có kế hoạch"),"?"))</f>
        <v/>
      </c>
      <c r="Q98" s="28" t="str">
        <f>IF($C98="","",SUMIFS('3 Nhật ký dừng máy'!$I$6:$I$1005,'3 Nhật ký dừng máy'!$A$6:$A$1005,$A98,'3 Nhật ký dừng máy'!$B$6:$B$1005,$B98,'3 Nhật ký dừng máy'!$C$6:$C$1005,$C98,'3 Nhật ký dừng máy'!$K$6:$K$1005,"Ngoài kế hoạch"))</f>
        <v/>
      </c>
      <c r="R98" s="30" t="str">
        <f>IF($C98="","",COUNTIFS('3 Nhật ký dừng máy'!$A$6:$A$1005,$A98,'3 Nhật ký dừng máy'!$B$6:$B$1005,$B98,'3 Nhật ký dừng máy'!$C$6:$C$1005,$C98,'3 Nhật ký dừng máy'!$K$6:$K$1005,"Ngoài kế hoạch"))</f>
        <v/>
      </c>
      <c r="S98" s="31" t="str">
        <f t="shared" si="15"/>
        <v/>
      </c>
      <c r="T98" s="31" t="str">
        <f t="shared" si="16"/>
        <v/>
      </c>
      <c r="U98" s="31" t="str">
        <f t="shared" si="17"/>
        <v/>
      </c>
      <c r="V98" s="32" t="str">
        <f t="shared" si="18"/>
        <v/>
      </c>
      <c r="W98" s="30" t="str">
        <f t="shared" si="19"/>
        <v/>
      </c>
      <c r="X98" s="33" t="str">
        <f t="shared" si="20"/>
        <v/>
      </c>
      <c r="Y98" s="34" t="str">
        <f t="shared" si="21"/>
        <v/>
      </c>
    </row>
    <row r="99" spans="1:25" x14ac:dyDescent="0.2">
      <c r="A99" s="35"/>
      <c r="B99" s="21"/>
      <c r="C99" s="18"/>
      <c r="D99" s="21"/>
      <c r="E99" s="21"/>
      <c r="F99" s="21"/>
      <c r="G99" s="36"/>
      <c r="H99" s="36"/>
      <c r="I99" s="36"/>
      <c r="J99" s="37"/>
      <c r="K99" s="18"/>
      <c r="L99" s="28" t="str">
        <f t="shared" si="11"/>
        <v/>
      </c>
      <c r="M99" s="29" t="str">
        <f t="shared" si="12"/>
        <v/>
      </c>
      <c r="N99" s="29" t="str">
        <f t="shared" si="13"/>
        <v/>
      </c>
      <c r="O99" s="30" t="str">
        <f t="shared" si="14"/>
        <v/>
      </c>
      <c r="P99" s="28" t="str">
        <f>IF($C99="","",IFERROR(INDEX(CA_TG,MATCH(B99,DS_CA,0))-INDEX(CA_NGHI,MATCH(B99,DS_CA,0))-SUMIFS('3 Nhật ký dừng máy'!$I$6:$I$1005,'3 Nhật ký dừng máy'!$A$6:$A$1005,$A99,'3 Nhật ký dừng máy'!$B$6:$B$1005,$B99,'3 Nhật ký dừng máy'!$C$6:$C$1005,$C99,'3 Nhật ký dừng máy'!$K$6:$K$1005,"Có kế hoạch"),"?"))</f>
        <v/>
      </c>
      <c r="Q99" s="28" t="str">
        <f>IF($C99="","",SUMIFS('3 Nhật ký dừng máy'!$I$6:$I$1005,'3 Nhật ký dừng máy'!$A$6:$A$1005,$A99,'3 Nhật ký dừng máy'!$B$6:$B$1005,$B99,'3 Nhật ký dừng máy'!$C$6:$C$1005,$C99,'3 Nhật ký dừng máy'!$K$6:$K$1005,"Ngoài kế hoạch"))</f>
        <v/>
      </c>
      <c r="R99" s="30" t="str">
        <f>IF($C99="","",COUNTIFS('3 Nhật ký dừng máy'!$A$6:$A$1005,$A99,'3 Nhật ký dừng máy'!$B$6:$B$1005,$B99,'3 Nhật ký dừng máy'!$C$6:$C$1005,$C99,'3 Nhật ký dừng máy'!$K$6:$K$1005,"Ngoài kế hoạch"))</f>
        <v/>
      </c>
      <c r="S99" s="31" t="str">
        <f t="shared" si="15"/>
        <v/>
      </c>
      <c r="T99" s="31" t="str">
        <f t="shared" si="16"/>
        <v/>
      </c>
      <c r="U99" s="31" t="str">
        <f t="shared" si="17"/>
        <v/>
      </c>
      <c r="V99" s="32" t="str">
        <f t="shared" si="18"/>
        <v/>
      </c>
      <c r="W99" s="30" t="str">
        <f t="shared" si="19"/>
        <v/>
      </c>
      <c r="X99" s="33" t="str">
        <f t="shared" si="20"/>
        <v/>
      </c>
      <c r="Y99" s="34" t="str">
        <f t="shared" si="21"/>
        <v/>
      </c>
    </row>
    <row r="100" spans="1:25" x14ac:dyDescent="0.2">
      <c r="A100" s="35"/>
      <c r="B100" s="21"/>
      <c r="C100" s="18"/>
      <c r="D100" s="21"/>
      <c r="E100" s="21"/>
      <c r="F100" s="21"/>
      <c r="G100" s="36"/>
      <c r="H100" s="36"/>
      <c r="I100" s="36"/>
      <c r="J100" s="37"/>
      <c r="K100" s="18"/>
      <c r="L100" s="28" t="str">
        <f t="shared" si="11"/>
        <v/>
      </c>
      <c r="M100" s="29" t="str">
        <f t="shared" si="12"/>
        <v/>
      </c>
      <c r="N100" s="29" t="str">
        <f t="shared" si="13"/>
        <v/>
      </c>
      <c r="O100" s="30" t="str">
        <f t="shared" si="14"/>
        <v/>
      </c>
      <c r="P100" s="28" t="str">
        <f>IF($C100="","",IFERROR(INDEX(CA_TG,MATCH(B100,DS_CA,0))-INDEX(CA_NGHI,MATCH(B100,DS_CA,0))-SUMIFS('3 Nhật ký dừng máy'!$I$6:$I$1005,'3 Nhật ký dừng máy'!$A$6:$A$1005,$A100,'3 Nhật ký dừng máy'!$B$6:$B$1005,$B100,'3 Nhật ký dừng máy'!$C$6:$C$1005,$C100,'3 Nhật ký dừng máy'!$K$6:$K$1005,"Có kế hoạch"),"?"))</f>
        <v/>
      </c>
      <c r="Q100" s="28" t="str">
        <f>IF($C100="","",SUMIFS('3 Nhật ký dừng máy'!$I$6:$I$1005,'3 Nhật ký dừng máy'!$A$6:$A$1005,$A100,'3 Nhật ký dừng máy'!$B$6:$B$1005,$B100,'3 Nhật ký dừng máy'!$C$6:$C$1005,$C100,'3 Nhật ký dừng máy'!$K$6:$K$1005,"Ngoài kế hoạch"))</f>
        <v/>
      </c>
      <c r="R100" s="30" t="str">
        <f>IF($C100="","",COUNTIFS('3 Nhật ký dừng máy'!$A$6:$A$1005,$A100,'3 Nhật ký dừng máy'!$B$6:$B$1005,$B100,'3 Nhật ký dừng máy'!$C$6:$C$1005,$C100,'3 Nhật ký dừng máy'!$K$6:$K$1005,"Ngoài kế hoạch"))</f>
        <v/>
      </c>
      <c r="S100" s="31" t="str">
        <f t="shared" si="15"/>
        <v/>
      </c>
      <c r="T100" s="31" t="str">
        <f t="shared" si="16"/>
        <v/>
      </c>
      <c r="U100" s="31" t="str">
        <f t="shared" si="17"/>
        <v/>
      </c>
      <c r="V100" s="32" t="str">
        <f t="shared" si="18"/>
        <v/>
      </c>
      <c r="W100" s="30" t="str">
        <f t="shared" si="19"/>
        <v/>
      </c>
      <c r="X100" s="33" t="str">
        <f t="shared" si="20"/>
        <v/>
      </c>
      <c r="Y100" s="34" t="str">
        <f t="shared" si="21"/>
        <v/>
      </c>
    </row>
    <row r="101" spans="1:25" x14ac:dyDescent="0.2">
      <c r="A101" s="35"/>
      <c r="B101" s="21"/>
      <c r="C101" s="18"/>
      <c r="D101" s="21"/>
      <c r="E101" s="21"/>
      <c r="F101" s="21"/>
      <c r="G101" s="36"/>
      <c r="H101" s="36"/>
      <c r="I101" s="36"/>
      <c r="J101" s="37"/>
      <c r="K101" s="18"/>
      <c r="L101" s="28" t="str">
        <f t="shared" si="11"/>
        <v/>
      </c>
      <c r="M101" s="29" t="str">
        <f t="shared" si="12"/>
        <v/>
      </c>
      <c r="N101" s="29" t="str">
        <f t="shared" si="13"/>
        <v/>
      </c>
      <c r="O101" s="30" t="str">
        <f t="shared" si="14"/>
        <v/>
      </c>
      <c r="P101" s="28" t="str">
        <f>IF($C101="","",IFERROR(INDEX(CA_TG,MATCH(B101,DS_CA,0))-INDEX(CA_NGHI,MATCH(B101,DS_CA,0))-SUMIFS('3 Nhật ký dừng máy'!$I$6:$I$1005,'3 Nhật ký dừng máy'!$A$6:$A$1005,$A101,'3 Nhật ký dừng máy'!$B$6:$B$1005,$B101,'3 Nhật ký dừng máy'!$C$6:$C$1005,$C101,'3 Nhật ký dừng máy'!$K$6:$K$1005,"Có kế hoạch"),"?"))</f>
        <v/>
      </c>
      <c r="Q101" s="28" t="str">
        <f>IF($C101="","",SUMIFS('3 Nhật ký dừng máy'!$I$6:$I$1005,'3 Nhật ký dừng máy'!$A$6:$A$1005,$A101,'3 Nhật ký dừng máy'!$B$6:$B$1005,$B101,'3 Nhật ký dừng máy'!$C$6:$C$1005,$C101,'3 Nhật ký dừng máy'!$K$6:$K$1005,"Ngoài kế hoạch"))</f>
        <v/>
      </c>
      <c r="R101" s="30" t="str">
        <f>IF($C101="","",COUNTIFS('3 Nhật ký dừng máy'!$A$6:$A$1005,$A101,'3 Nhật ký dừng máy'!$B$6:$B$1005,$B101,'3 Nhật ký dừng máy'!$C$6:$C$1005,$C101,'3 Nhật ký dừng máy'!$K$6:$K$1005,"Ngoài kế hoạch"))</f>
        <v/>
      </c>
      <c r="S101" s="31" t="str">
        <f t="shared" si="15"/>
        <v/>
      </c>
      <c r="T101" s="31" t="str">
        <f t="shared" si="16"/>
        <v/>
      </c>
      <c r="U101" s="31" t="str">
        <f t="shared" si="17"/>
        <v/>
      </c>
      <c r="V101" s="32" t="str">
        <f t="shared" si="18"/>
        <v/>
      </c>
      <c r="W101" s="30" t="str">
        <f t="shared" si="19"/>
        <v/>
      </c>
      <c r="X101" s="33" t="str">
        <f t="shared" si="20"/>
        <v/>
      </c>
      <c r="Y101" s="34" t="str">
        <f t="shared" si="21"/>
        <v/>
      </c>
    </row>
    <row r="102" spans="1:25" x14ac:dyDescent="0.2">
      <c r="A102" s="35"/>
      <c r="B102" s="21"/>
      <c r="C102" s="18"/>
      <c r="D102" s="21"/>
      <c r="E102" s="21"/>
      <c r="F102" s="21"/>
      <c r="G102" s="36"/>
      <c r="H102" s="36"/>
      <c r="I102" s="36"/>
      <c r="J102" s="37"/>
      <c r="K102" s="18"/>
      <c r="L102" s="28" t="str">
        <f t="shared" si="11"/>
        <v/>
      </c>
      <c r="M102" s="29" t="str">
        <f t="shared" si="12"/>
        <v/>
      </c>
      <c r="N102" s="29" t="str">
        <f t="shared" si="13"/>
        <v/>
      </c>
      <c r="O102" s="30" t="str">
        <f t="shared" si="14"/>
        <v/>
      </c>
      <c r="P102" s="28" t="str">
        <f>IF($C102="","",IFERROR(INDEX(CA_TG,MATCH(B102,DS_CA,0))-INDEX(CA_NGHI,MATCH(B102,DS_CA,0))-SUMIFS('3 Nhật ký dừng máy'!$I$6:$I$1005,'3 Nhật ký dừng máy'!$A$6:$A$1005,$A102,'3 Nhật ký dừng máy'!$B$6:$B$1005,$B102,'3 Nhật ký dừng máy'!$C$6:$C$1005,$C102,'3 Nhật ký dừng máy'!$K$6:$K$1005,"Có kế hoạch"),"?"))</f>
        <v/>
      </c>
      <c r="Q102" s="28" t="str">
        <f>IF($C102="","",SUMIFS('3 Nhật ký dừng máy'!$I$6:$I$1005,'3 Nhật ký dừng máy'!$A$6:$A$1005,$A102,'3 Nhật ký dừng máy'!$B$6:$B$1005,$B102,'3 Nhật ký dừng máy'!$C$6:$C$1005,$C102,'3 Nhật ký dừng máy'!$K$6:$K$1005,"Ngoài kế hoạch"))</f>
        <v/>
      </c>
      <c r="R102" s="30" t="str">
        <f>IF($C102="","",COUNTIFS('3 Nhật ký dừng máy'!$A$6:$A$1005,$A102,'3 Nhật ký dừng máy'!$B$6:$B$1005,$B102,'3 Nhật ký dừng máy'!$C$6:$C$1005,$C102,'3 Nhật ký dừng máy'!$K$6:$K$1005,"Ngoài kế hoạch"))</f>
        <v/>
      </c>
      <c r="S102" s="31" t="str">
        <f t="shared" si="15"/>
        <v/>
      </c>
      <c r="T102" s="31" t="str">
        <f t="shared" si="16"/>
        <v/>
      </c>
      <c r="U102" s="31" t="str">
        <f t="shared" si="17"/>
        <v/>
      </c>
      <c r="V102" s="32" t="str">
        <f t="shared" si="18"/>
        <v/>
      </c>
      <c r="W102" s="30" t="str">
        <f t="shared" si="19"/>
        <v/>
      </c>
      <c r="X102" s="33" t="str">
        <f t="shared" si="20"/>
        <v/>
      </c>
      <c r="Y102" s="34" t="str">
        <f t="shared" si="21"/>
        <v/>
      </c>
    </row>
    <row r="103" spans="1:25" x14ac:dyDescent="0.2">
      <c r="A103" s="35"/>
      <c r="B103" s="21"/>
      <c r="C103" s="18"/>
      <c r="D103" s="21"/>
      <c r="E103" s="21"/>
      <c r="F103" s="21"/>
      <c r="G103" s="36"/>
      <c r="H103" s="36"/>
      <c r="I103" s="36"/>
      <c r="J103" s="37"/>
      <c r="K103" s="18"/>
      <c r="L103" s="28" t="str">
        <f t="shared" si="11"/>
        <v/>
      </c>
      <c r="M103" s="29" t="str">
        <f t="shared" si="12"/>
        <v/>
      </c>
      <c r="N103" s="29" t="str">
        <f t="shared" si="13"/>
        <v/>
      </c>
      <c r="O103" s="30" t="str">
        <f t="shared" si="14"/>
        <v/>
      </c>
      <c r="P103" s="28" t="str">
        <f>IF($C103="","",IFERROR(INDEX(CA_TG,MATCH(B103,DS_CA,0))-INDEX(CA_NGHI,MATCH(B103,DS_CA,0))-SUMIFS('3 Nhật ký dừng máy'!$I$6:$I$1005,'3 Nhật ký dừng máy'!$A$6:$A$1005,$A103,'3 Nhật ký dừng máy'!$B$6:$B$1005,$B103,'3 Nhật ký dừng máy'!$C$6:$C$1005,$C103,'3 Nhật ký dừng máy'!$K$6:$K$1005,"Có kế hoạch"),"?"))</f>
        <v/>
      </c>
      <c r="Q103" s="28" t="str">
        <f>IF($C103="","",SUMIFS('3 Nhật ký dừng máy'!$I$6:$I$1005,'3 Nhật ký dừng máy'!$A$6:$A$1005,$A103,'3 Nhật ký dừng máy'!$B$6:$B$1005,$B103,'3 Nhật ký dừng máy'!$C$6:$C$1005,$C103,'3 Nhật ký dừng máy'!$K$6:$K$1005,"Ngoài kế hoạch"))</f>
        <v/>
      </c>
      <c r="R103" s="30" t="str">
        <f>IF($C103="","",COUNTIFS('3 Nhật ký dừng máy'!$A$6:$A$1005,$A103,'3 Nhật ký dừng máy'!$B$6:$B$1005,$B103,'3 Nhật ký dừng máy'!$C$6:$C$1005,$C103,'3 Nhật ký dừng máy'!$K$6:$K$1005,"Ngoài kế hoạch"))</f>
        <v/>
      </c>
      <c r="S103" s="31" t="str">
        <f t="shared" si="15"/>
        <v/>
      </c>
      <c r="T103" s="31" t="str">
        <f t="shared" si="16"/>
        <v/>
      </c>
      <c r="U103" s="31" t="str">
        <f t="shared" si="17"/>
        <v/>
      </c>
      <c r="V103" s="32" t="str">
        <f t="shared" si="18"/>
        <v/>
      </c>
      <c r="W103" s="30" t="str">
        <f t="shared" si="19"/>
        <v/>
      </c>
      <c r="X103" s="33" t="str">
        <f t="shared" si="20"/>
        <v/>
      </c>
      <c r="Y103" s="34" t="str">
        <f t="shared" si="21"/>
        <v/>
      </c>
    </row>
    <row r="104" spans="1:25" x14ac:dyDescent="0.2">
      <c r="A104" s="35"/>
      <c r="B104" s="21"/>
      <c r="C104" s="18"/>
      <c r="D104" s="21"/>
      <c r="E104" s="21"/>
      <c r="F104" s="21"/>
      <c r="G104" s="36"/>
      <c r="H104" s="36"/>
      <c r="I104" s="36"/>
      <c r="J104" s="37"/>
      <c r="K104" s="18"/>
      <c r="L104" s="28" t="str">
        <f t="shared" si="11"/>
        <v/>
      </c>
      <c r="M104" s="29" t="str">
        <f t="shared" si="12"/>
        <v/>
      </c>
      <c r="N104" s="29" t="str">
        <f t="shared" si="13"/>
        <v/>
      </c>
      <c r="O104" s="30" t="str">
        <f t="shared" si="14"/>
        <v/>
      </c>
      <c r="P104" s="28" t="str">
        <f>IF($C104="","",IFERROR(INDEX(CA_TG,MATCH(B104,DS_CA,0))-INDEX(CA_NGHI,MATCH(B104,DS_CA,0))-SUMIFS('3 Nhật ký dừng máy'!$I$6:$I$1005,'3 Nhật ký dừng máy'!$A$6:$A$1005,$A104,'3 Nhật ký dừng máy'!$B$6:$B$1005,$B104,'3 Nhật ký dừng máy'!$C$6:$C$1005,$C104,'3 Nhật ký dừng máy'!$K$6:$K$1005,"Có kế hoạch"),"?"))</f>
        <v/>
      </c>
      <c r="Q104" s="28" t="str">
        <f>IF($C104="","",SUMIFS('3 Nhật ký dừng máy'!$I$6:$I$1005,'3 Nhật ký dừng máy'!$A$6:$A$1005,$A104,'3 Nhật ký dừng máy'!$B$6:$B$1005,$B104,'3 Nhật ký dừng máy'!$C$6:$C$1005,$C104,'3 Nhật ký dừng máy'!$K$6:$K$1005,"Ngoài kế hoạch"))</f>
        <v/>
      </c>
      <c r="R104" s="30" t="str">
        <f>IF($C104="","",COUNTIFS('3 Nhật ký dừng máy'!$A$6:$A$1005,$A104,'3 Nhật ký dừng máy'!$B$6:$B$1005,$B104,'3 Nhật ký dừng máy'!$C$6:$C$1005,$C104,'3 Nhật ký dừng máy'!$K$6:$K$1005,"Ngoài kế hoạch"))</f>
        <v/>
      </c>
      <c r="S104" s="31" t="str">
        <f t="shared" si="15"/>
        <v/>
      </c>
      <c r="T104" s="31" t="str">
        <f t="shared" si="16"/>
        <v/>
      </c>
      <c r="U104" s="31" t="str">
        <f t="shared" si="17"/>
        <v/>
      </c>
      <c r="V104" s="32" t="str">
        <f t="shared" si="18"/>
        <v/>
      </c>
      <c r="W104" s="30" t="str">
        <f t="shared" si="19"/>
        <v/>
      </c>
      <c r="X104" s="33" t="str">
        <f t="shared" si="20"/>
        <v/>
      </c>
      <c r="Y104" s="34" t="str">
        <f t="shared" si="21"/>
        <v/>
      </c>
    </row>
    <row r="105" spans="1:25" x14ac:dyDescent="0.2">
      <c r="A105" s="35"/>
      <c r="B105" s="21"/>
      <c r="C105" s="18"/>
      <c r="D105" s="21"/>
      <c r="E105" s="21"/>
      <c r="F105" s="21"/>
      <c r="G105" s="36"/>
      <c r="H105" s="36"/>
      <c r="I105" s="36"/>
      <c r="J105" s="37"/>
      <c r="K105" s="18"/>
      <c r="L105" s="28" t="str">
        <f t="shared" si="11"/>
        <v/>
      </c>
      <c r="M105" s="29" t="str">
        <f t="shared" si="12"/>
        <v/>
      </c>
      <c r="N105" s="29" t="str">
        <f t="shared" si="13"/>
        <v/>
      </c>
      <c r="O105" s="30" t="str">
        <f t="shared" si="14"/>
        <v/>
      </c>
      <c r="P105" s="28" t="str">
        <f>IF($C105="","",IFERROR(INDEX(CA_TG,MATCH(B105,DS_CA,0))-INDEX(CA_NGHI,MATCH(B105,DS_CA,0))-SUMIFS('3 Nhật ký dừng máy'!$I$6:$I$1005,'3 Nhật ký dừng máy'!$A$6:$A$1005,$A105,'3 Nhật ký dừng máy'!$B$6:$B$1005,$B105,'3 Nhật ký dừng máy'!$C$6:$C$1005,$C105,'3 Nhật ký dừng máy'!$K$6:$K$1005,"Có kế hoạch"),"?"))</f>
        <v/>
      </c>
      <c r="Q105" s="28" t="str">
        <f>IF($C105="","",SUMIFS('3 Nhật ký dừng máy'!$I$6:$I$1005,'3 Nhật ký dừng máy'!$A$6:$A$1005,$A105,'3 Nhật ký dừng máy'!$B$6:$B$1005,$B105,'3 Nhật ký dừng máy'!$C$6:$C$1005,$C105,'3 Nhật ký dừng máy'!$K$6:$K$1005,"Ngoài kế hoạch"))</f>
        <v/>
      </c>
      <c r="R105" s="30" t="str">
        <f>IF($C105="","",COUNTIFS('3 Nhật ký dừng máy'!$A$6:$A$1005,$A105,'3 Nhật ký dừng máy'!$B$6:$B$1005,$B105,'3 Nhật ký dừng máy'!$C$6:$C$1005,$C105,'3 Nhật ký dừng máy'!$K$6:$K$1005,"Ngoài kế hoạch"))</f>
        <v/>
      </c>
      <c r="S105" s="31" t="str">
        <f t="shared" si="15"/>
        <v/>
      </c>
      <c r="T105" s="31" t="str">
        <f t="shared" si="16"/>
        <v/>
      </c>
      <c r="U105" s="31" t="str">
        <f t="shared" si="17"/>
        <v/>
      </c>
      <c r="V105" s="32" t="str">
        <f t="shared" si="18"/>
        <v/>
      </c>
      <c r="W105" s="30" t="str">
        <f t="shared" si="19"/>
        <v/>
      </c>
      <c r="X105" s="33" t="str">
        <f t="shared" si="20"/>
        <v/>
      </c>
      <c r="Y105" s="34" t="str">
        <f t="shared" si="21"/>
        <v/>
      </c>
    </row>
    <row r="106" spans="1:25" x14ac:dyDescent="0.2">
      <c r="A106" s="35"/>
      <c r="B106" s="21"/>
      <c r="C106" s="18"/>
      <c r="D106" s="21"/>
      <c r="E106" s="21"/>
      <c r="F106" s="21"/>
      <c r="G106" s="36"/>
      <c r="H106" s="36"/>
      <c r="I106" s="36"/>
      <c r="J106" s="37"/>
      <c r="K106" s="18"/>
      <c r="L106" s="28" t="str">
        <f t="shared" si="11"/>
        <v/>
      </c>
      <c r="M106" s="29" t="str">
        <f t="shared" si="12"/>
        <v/>
      </c>
      <c r="N106" s="29" t="str">
        <f t="shared" si="13"/>
        <v/>
      </c>
      <c r="O106" s="30" t="str">
        <f t="shared" si="14"/>
        <v/>
      </c>
      <c r="P106" s="28" t="str">
        <f>IF($C106="","",IFERROR(INDEX(CA_TG,MATCH(B106,DS_CA,0))-INDEX(CA_NGHI,MATCH(B106,DS_CA,0))-SUMIFS('3 Nhật ký dừng máy'!$I$6:$I$1005,'3 Nhật ký dừng máy'!$A$6:$A$1005,$A106,'3 Nhật ký dừng máy'!$B$6:$B$1005,$B106,'3 Nhật ký dừng máy'!$C$6:$C$1005,$C106,'3 Nhật ký dừng máy'!$K$6:$K$1005,"Có kế hoạch"),"?"))</f>
        <v/>
      </c>
      <c r="Q106" s="28" t="str">
        <f>IF($C106="","",SUMIFS('3 Nhật ký dừng máy'!$I$6:$I$1005,'3 Nhật ký dừng máy'!$A$6:$A$1005,$A106,'3 Nhật ký dừng máy'!$B$6:$B$1005,$B106,'3 Nhật ký dừng máy'!$C$6:$C$1005,$C106,'3 Nhật ký dừng máy'!$K$6:$K$1005,"Ngoài kế hoạch"))</f>
        <v/>
      </c>
      <c r="R106" s="30" t="str">
        <f>IF($C106="","",COUNTIFS('3 Nhật ký dừng máy'!$A$6:$A$1005,$A106,'3 Nhật ký dừng máy'!$B$6:$B$1005,$B106,'3 Nhật ký dừng máy'!$C$6:$C$1005,$C106,'3 Nhật ký dừng máy'!$K$6:$K$1005,"Ngoài kế hoạch"))</f>
        <v/>
      </c>
      <c r="S106" s="31" t="str">
        <f t="shared" si="15"/>
        <v/>
      </c>
      <c r="T106" s="31" t="str">
        <f t="shared" si="16"/>
        <v/>
      </c>
      <c r="U106" s="31" t="str">
        <f t="shared" si="17"/>
        <v/>
      </c>
      <c r="V106" s="32" t="str">
        <f t="shared" si="18"/>
        <v/>
      </c>
      <c r="W106" s="30" t="str">
        <f t="shared" si="19"/>
        <v/>
      </c>
      <c r="X106" s="33" t="str">
        <f t="shared" si="20"/>
        <v/>
      </c>
      <c r="Y106" s="34" t="str">
        <f t="shared" si="21"/>
        <v/>
      </c>
    </row>
    <row r="107" spans="1:25" x14ac:dyDescent="0.2">
      <c r="A107" s="35"/>
      <c r="B107" s="21"/>
      <c r="C107" s="18"/>
      <c r="D107" s="21"/>
      <c r="E107" s="21"/>
      <c r="F107" s="21"/>
      <c r="G107" s="36"/>
      <c r="H107" s="36"/>
      <c r="I107" s="36"/>
      <c r="J107" s="37"/>
      <c r="K107" s="18"/>
      <c r="L107" s="28" t="str">
        <f t="shared" si="11"/>
        <v/>
      </c>
      <c r="M107" s="29" t="str">
        <f t="shared" si="12"/>
        <v/>
      </c>
      <c r="N107" s="29" t="str">
        <f t="shared" si="13"/>
        <v/>
      </c>
      <c r="O107" s="30" t="str">
        <f t="shared" si="14"/>
        <v/>
      </c>
      <c r="P107" s="28" t="str">
        <f>IF($C107="","",IFERROR(INDEX(CA_TG,MATCH(B107,DS_CA,0))-INDEX(CA_NGHI,MATCH(B107,DS_CA,0))-SUMIFS('3 Nhật ký dừng máy'!$I$6:$I$1005,'3 Nhật ký dừng máy'!$A$6:$A$1005,$A107,'3 Nhật ký dừng máy'!$B$6:$B$1005,$B107,'3 Nhật ký dừng máy'!$C$6:$C$1005,$C107,'3 Nhật ký dừng máy'!$K$6:$K$1005,"Có kế hoạch"),"?"))</f>
        <v/>
      </c>
      <c r="Q107" s="28" t="str">
        <f>IF($C107="","",SUMIFS('3 Nhật ký dừng máy'!$I$6:$I$1005,'3 Nhật ký dừng máy'!$A$6:$A$1005,$A107,'3 Nhật ký dừng máy'!$B$6:$B$1005,$B107,'3 Nhật ký dừng máy'!$C$6:$C$1005,$C107,'3 Nhật ký dừng máy'!$K$6:$K$1005,"Ngoài kế hoạch"))</f>
        <v/>
      </c>
      <c r="R107" s="30" t="str">
        <f>IF($C107="","",COUNTIFS('3 Nhật ký dừng máy'!$A$6:$A$1005,$A107,'3 Nhật ký dừng máy'!$B$6:$B$1005,$B107,'3 Nhật ký dừng máy'!$C$6:$C$1005,$C107,'3 Nhật ký dừng máy'!$K$6:$K$1005,"Ngoài kế hoạch"))</f>
        <v/>
      </c>
      <c r="S107" s="31" t="str">
        <f t="shared" si="15"/>
        <v/>
      </c>
      <c r="T107" s="31" t="str">
        <f t="shared" si="16"/>
        <v/>
      </c>
      <c r="U107" s="31" t="str">
        <f t="shared" si="17"/>
        <v/>
      </c>
      <c r="V107" s="32" t="str">
        <f t="shared" si="18"/>
        <v/>
      </c>
      <c r="W107" s="30" t="str">
        <f t="shared" si="19"/>
        <v/>
      </c>
      <c r="X107" s="33" t="str">
        <f t="shared" si="20"/>
        <v/>
      </c>
      <c r="Y107" s="34" t="str">
        <f t="shared" si="21"/>
        <v/>
      </c>
    </row>
    <row r="108" spans="1:25" x14ac:dyDescent="0.2">
      <c r="A108" s="35"/>
      <c r="B108" s="21"/>
      <c r="C108" s="18"/>
      <c r="D108" s="21"/>
      <c r="E108" s="21"/>
      <c r="F108" s="21"/>
      <c r="G108" s="36"/>
      <c r="H108" s="36"/>
      <c r="I108" s="36"/>
      <c r="J108" s="37"/>
      <c r="K108" s="18"/>
      <c r="L108" s="28" t="str">
        <f t="shared" si="11"/>
        <v/>
      </c>
      <c r="M108" s="29" t="str">
        <f t="shared" si="12"/>
        <v/>
      </c>
      <c r="N108" s="29" t="str">
        <f t="shared" si="13"/>
        <v/>
      </c>
      <c r="O108" s="30" t="str">
        <f t="shared" si="14"/>
        <v/>
      </c>
      <c r="P108" s="28" t="str">
        <f>IF($C108="","",IFERROR(INDEX(CA_TG,MATCH(B108,DS_CA,0))-INDEX(CA_NGHI,MATCH(B108,DS_CA,0))-SUMIFS('3 Nhật ký dừng máy'!$I$6:$I$1005,'3 Nhật ký dừng máy'!$A$6:$A$1005,$A108,'3 Nhật ký dừng máy'!$B$6:$B$1005,$B108,'3 Nhật ký dừng máy'!$C$6:$C$1005,$C108,'3 Nhật ký dừng máy'!$K$6:$K$1005,"Có kế hoạch"),"?"))</f>
        <v/>
      </c>
      <c r="Q108" s="28" t="str">
        <f>IF($C108="","",SUMIFS('3 Nhật ký dừng máy'!$I$6:$I$1005,'3 Nhật ký dừng máy'!$A$6:$A$1005,$A108,'3 Nhật ký dừng máy'!$B$6:$B$1005,$B108,'3 Nhật ký dừng máy'!$C$6:$C$1005,$C108,'3 Nhật ký dừng máy'!$K$6:$K$1005,"Ngoài kế hoạch"))</f>
        <v/>
      </c>
      <c r="R108" s="30" t="str">
        <f>IF($C108="","",COUNTIFS('3 Nhật ký dừng máy'!$A$6:$A$1005,$A108,'3 Nhật ký dừng máy'!$B$6:$B$1005,$B108,'3 Nhật ký dừng máy'!$C$6:$C$1005,$C108,'3 Nhật ký dừng máy'!$K$6:$K$1005,"Ngoài kế hoạch"))</f>
        <v/>
      </c>
      <c r="S108" s="31" t="str">
        <f t="shared" si="15"/>
        <v/>
      </c>
      <c r="T108" s="31" t="str">
        <f t="shared" si="16"/>
        <v/>
      </c>
      <c r="U108" s="31" t="str">
        <f t="shared" si="17"/>
        <v/>
      </c>
      <c r="V108" s="32" t="str">
        <f t="shared" si="18"/>
        <v/>
      </c>
      <c r="W108" s="30" t="str">
        <f t="shared" si="19"/>
        <v/>
      </c>
      <c r="X108" s="33" t="str">
        <f t="shared" si="20"/>
        <v/>
      </c>
      <c r="Y108" s="34" t="str">
        <f t="shared" si="21"/>
        <v/>
      </c>
    </row>
    <row r="109" spans="1:25" x14ac:dyDescent="0.2">
      <c r="A109" s="35"/>
      <c r="B109" s="21"/>
      <c r="C109" s="18"/>
      <c r="D109" s="21"/>
      <c r="E109" s="21"/>
      <c r="F109" s="21"/>
      <c r="G109" s="36"/>
      <c r="H109" s="36"/>
      <c r="I109" s="36"/>
      <c r="J109" s="37"/>
      <c r="K109" s="18"/>
      <c r="L109" s="28" t="str">
        <f t="shared" si="11"/>
        <v/>
      </c>
      <c r="M109" s="29" t="str">
        <f t="shared" si="12"/>
        <v/>
      </c>
      <c r="N109" s="29" t="str">
        <f t="shared" si="13"/>
        <v/>
      </c>
      <c r="O109" s="30" t="str">
        <f t="shared" si="14"/>
        <v/>
      </c>
      <c r="P109" s="28" t="str">
        <f>IF($C109="","",IFERROR(INDEX(CA_TG,MATCH(B109,DS_CA,0))-INDEX(CA_NGHI,MATCH(B109,DS_CA,0))-SUMIFS('3 Nhật ký dừng máy'!$I$6:$I$1005,'3 Nhật ký dừng máy'!$A$6:$A$1005,$A109,'3 Nhật ký dừng máy'!$B$6:$B$1005,$B109,'3 Nhật ký dừng máy'!$C$6:$C$1005,$C109,'3 Nhật ký dừng máy'!$K$6:$K$1005,"Có kế hoạch"),"?"))</f>
        <v/>
      </c>
      <c r="Q109" s="28" t="str">
        <f>IF($C109="","",SUMIFS('3 Nhật ký dừng máy'!$I$6:$I$1005,'3 Nhật ký dừng máy'!$A$6:$A$1005,$A109,'3 Nhật ký dừng máy'!$B$6:$B$1005,$B109,'3 Nhật ký dừng máy'!$C$6:$C$1005,$C109,'3 Nhật ký dừng máy'!$K$6:$K$1005,"Ngoài kế hoạch"))</f>
        <v/>
      </c>
      <c r="R109" s="30" t="str">
        <f>IF($C109="","",COUNTIFS('3 Nhật ký dừng máy'!$A$6:$A$1005,$A109,'3 Nhật ký dừng máy'!$B$6:$B$1005,$B109,'3 Nhật ký dừng máy'!$C$6:$C$1005,$C109,'3 Nhật ký dừng máy'!$K$6:$K$1005,"Ngoài kế hoạch"))</f>
        <v/>
      </c>
      <c r="S109" s="31" t="str">
        <f t="shared" si="15"/>
        <v/>
      </c>
      <c r="T109" s="31" t="str">
        <f t="shared" si="16"/>
        <v/>
      </c>
      <c r="U109" s="31" t="str">
        <f t="shared" si="17"/>
        <v/>
      </c>
      <c r="V109" s="32" t="str">
        <f t="shared" si="18"/>
        <v/>
      </c>
      <c r="W109" s="30" t="str">
        <f t="shared" si="19"/>
        <v/>
      </c>
      <c r="X109" s="33" t="str">
        <f t="shared" si="20"/>
        <v/>
      </c>
      <c r="Y109" s="34" t="str">
        <f t="shared" si="21"/>
        <v/>
      </c>
    </row>
    <row r="110" spans="1:25" x14ac:dyDescent="0.2">
      <c r="A110" s="35"/>
      <c r="B110" s="21"/>
      <c r="C110" s="18"/>
      <c r="D110" s="21"/>
      <c r="E110" s="21"/>
      <c r="F110" s="21"/>
      <c r="G110" s="36"/>
      <c r="H110" s="36"/>
      <c r="I110" s="36"/>
      <c r="J110" s="37"/>
      <c r="K110" s="18"/>
      <c r="L110" s="28" t="str">
        <f t="shared" si="11"/>
        <v/>
      </c>
      <c r="M110" s="29" t="str">
        <f t="shared" si="12"/>
        <v/>
      </c>
      <c r="N110" s="29" t="str">
        <f t="shared" si="13"/>
        <v/>
      </c>
      <c r="O110" s="30" t="str">
        <f t="shared" si="14"/>
        <v/>
      </c>
      <c r="P110" s="28" t="str">
        <f>IF($C110="","",IFERROR(INDEX(CA_TG,MATCH(B110,DS_CA,0))-INDEX(CA_NGHI,MATCH(B110,DS_CA,0))-SUMIFS('3 Nhật ký dừng máy'!$I$6:$I$1005,'3 Nhật ký dừng máy'!$A$6:$A$1005,$A110,'3 Nhật ký dừng máy'!$B$6:$B$1005,$B110,'3 Nhật ký dừng máy'!$C$6:$C$1005,$C110,'3 Nhật ký dừng máy'!$K$6:$K$1005,"Có kế hoạch"),"?"))</f>
        <v/>
      </c>
      <c r="Q110" s="28" t="str">
        <f>IF($C110="","",SUMIFS('3 Nhật ký dừng máy'!$I$6:$I$1005,'3 Nhật ký dừng máy'!$A$6:$A$1005,$A110,'3 Nhật ký dừng máy'!$B$6:$B$1005,$B110,'3 Nhật ký dừng máy'!$C$6:$C$1005,$C110,'3 Nhật ký dừng máy'!$K$6:$K$1005,"Ngoài kế hoạch"))</f>
        <v/>
      </c>
      <c r="R110" s="30" t="str">
        <f>IF($C110="","",COUNTIFS('3 Nhật ký dừng máy'!$A$6:$A$1005,$A110,'3 Nhật ký dừng máy'!$B$6:$B$1005,$B110,'3 Nhật ký dừng máy'!$C$6:$C$1005,$C110,'3 Nhật ký dừng máy'!$K$6:$K$1005,"Ngoài kế hoạch"))</f>
        <v/>
      </c>
      <c r="S110" s="31" t="str">
        <f t="shared" si="15"/>
        <v/>
      </c>
      <c r="T110" s="31" t="str">
        <f t="shared" si="16"/>
        <v/>
      </c>
      <c r="U110" s="31" t="str">
        <f t="shared" si="17"/>
        <v/>
      </c>
      <c r="V110" s="32" t="str">
        <f t="shared" si="18"/>
        <v/>
      </c>
      <c r="W110" s="30" t="str">
        <f t="shared" si="19"/>
        <v/>
      </c>
      <c r="X110" s="33" t="str">
        <f t="shared" si="20"/>
        <v/>
      </c>
      <c r="Y110" s="34" t="str">
        <f t="shared" si="21"/>
        <v/>
      </c>
    </row>
    <row r="111" spans="1:25" x14ac:dyDescent="0.2">
      <c r="A111" s="35"/>
      <c r="B111" s="21"/>
      <c r="C111" s="18"/>
      <c r="D111" s="21"/>
      <c r="E111" s="21"/>
      <c r="F111" s="21"/>
      <c r="G111" s="36"/>
      <c r="H111" s="36"/>
      <c r="I111" s="36"/>
      <c r="J111" s="37"/>
      <c r="K111" s="18"/>
      <c r="L111" s="28" t="str">
        <f t="shared" si="11"/>
        <v/>
      </c>
      <c r="M111" s="29" t="str">
        <f t="shared" si="12"/>
        <v/>
      </c>
      <c r="N111" s="29" t="str">
        <f t="shared" si="13"/>
        <v/>
      </c>
      <c r="O111" s="30" t="str">
        <f t="shared" si="14"/>
        <v/>
      </c>
      <c r="P111" s="28" t="str">
        <f>IF($C111="","",IFERROR(INDEX(CA_TG,MATCH(B111,DS_CA,0))-INDEX(CA_NGHI,MATCH(B111,DS_CA,0))-SUMIFS('3 Nhật ký dừng máy'!$I$6:$I$1005,'3 Nhật ký dừng máy'!$A$6:$A$1005,$A111,'3 Nhật ký dừng máy'!$B$6:$B$1005,$B111,'3 Nhật ký dừng máy'!$C$6:$C$1005,$C111,'3 Nhật ký dừng máy'!$K$6:$K$1005,"Có kế hoạch"),"?"))</f>
        <v/>
      </c>
      <c r="Q111" s="28" t="str">
        <f>IF($C111="","",SUMIFS('3 Nhật ký dừng máy'!$I$6:$I$1005,'3 Nhật ký dừng máy'!$A$6:$A$1005,$A111,'3 Nhật ký dừng máy'!$B$6:$B$1005,$B111,'3 Nhật ký dừng máy'!$C$6:$C$1005,$C111,'3 Nhật ký dừng máy'!$K$6:$K$1005,"Ngoài kế hoạch"))</f>
        <v/>
      </c>
      <c r="R111" s="30" t="str">
        <f>IF($C111="","",COUNTIFS('3 Nhật ký dừng máy'!$A$6:$A$1005,$A111,'3 Nhật ký dừng máy'!$B$6:$B$1005,$B111,'3 Nhật ký dừng máy'!$C$6:$C$1005,$C111,'3 Nhật ký dừng máy'!$K$6:$K$1005,"Ngoài kế hoạch"))</f>
        <v/>
      </c>
      <c r="S111" s="31" t="str">
        <f t="shared" si="15"/>
        <v/>
      </c>
      <c r="T111" s="31" t="str">
        <f t="shared" si="16"/>
        <v/>
      </c>
      <c r="U111" s="31" t="str">
        <f t="shared" si="17"/>
        <v/>
      </c>
      <c r="V111" s="32" t="str">
        <f t="shared" si="18"/>
        <v/>
      </c>
      <c r="W111" s="30" t="str">
        <f t="shared" si="19"/>
        <v/>
      </c>
      <c r="X111" s="33" t="str">
        <f t="shared" si="20"/>
        <v/>
      </c>
      <c r="Y111" s="34" t="str">
        <f t="shared" si="21"/>
        <v/>
      </c>
    </row>
    <row r="112" spans="1:25" x14ac:dyDescent="0.2">
      <c r="A112" s="35"/>
      <c r="B112" s="21"/>
      <c r="C112" s="18"/>
      <c r="D112" s="21"/>
      <c r="E112" s="21"/>
      <c r="F112" s="21"/>
      <c r="G112" s="36"/>
      <c r="H112" s="36"/>
      <c r="I112" s="36"/>
      <c r="J112" s="37"/>
      <c r="K112" s="18"/>
      <c r="L112" s="28" t="str">
        <f t="shared" si="11"/>
        <v/>
      </c>
      <c r="M112" s="29" t="str">
        <f t="shared" si="12"/>
        <v/>
      </c>
      <c r="N112" s="29" t="str">
        <f t="shared" si="13"/>
        <v/>
      </c>
      <c r="O112" s="30" t="str">
        <f t="shared" si="14"/>
        <v/>
      </c>
      <c r="P112" s="28" t="str">
        <f>IF($C112="","",IFERROR(INDEX(CA_TG,MATCH(B112,DS_CA,0))-INDEX(CA_NGHI,MATCH(B112,DS_CA,0))-SUMIFS('3 Nhật ký dừng máy'!$I$6:$I$1005,'3 Nhật ký dừng máy'!$A$6:$A$1005,$A112,'3 Nhật ký dừng máy'!$B$6:$B$1005,$B112,'3 Nhật ký dừng máy'!$C$6:$C$1005,$C112,'3 Nhật ký dừng máy'!$K$6:$K$1005,"Có kế hoạch"),"?"))</f>
        <v/>
      </c>
      <c r="Q112" s="28" t="str">
        <f>IF($C112="","",SUMIFS('3 Nhật ký dừng máy'!$I$6:$I$1005,'3 Nhật ký dừng máy'!$A$6:$A$1005,$A112,'3 Nhật ký dừng máy'!$B$6:$B$1005,$B112,'3 Nhật ký dừng máy'!$C$6:$C$1005,$C112,'3 Nhật ký dừng máy'!$K$6:$K$1005,"Ngoài kế hoạch"))</f>
        <v/>
      </c>
      <c r="R112" s="30" t="str">
        <f>IF($C112="","",COUNTIFS('3 Nhật ký dừng máy'!$A$6:$A$1005,$A112,'3 Nhật ký dừng máy'!$B$6:$B$1005,$B112,'3 Nhật ký dừng máy'!$C$6:$C$1005,$C112,'3 Nhật ký dừng máy'!$K$6:$K$1005,"Ngoài kế hoạch"))</f>
        <v/>
      </c>
      <c r="S112" s="31" t="str">
        <f t="shared" si="15"/>
        <v/>
      </c>
      <c r="T112" s="31" t="str">
        <f t="shared" si="16"/>
        <v/>
      </c>
      <c r="U112" s="31" t="str">
        <f t="shared" si="17"/>
        <v/>
      </c>
      <c r="V112" s="32" t="str">
        <f t="shared" si="18"/>
        <v/>
      </c>
      <c r="W112" s="30" t="str">
        <f t="shared" si="19"/>
        <v/>
      </c>
      <c r="X112" s="33" t="str">
        <f t="shared" si="20"/>
        <v/>
      </c>
      <c r="Y112" s="34" t="str">
        <f t="shared" si="21"/>
        <v/>
      </c>
    </row>
    <row r="113" spans="1:25" x14ac:dyDescent="0.2">
      <c r="A113" s="35"/>
      <c r="B113" s="21"/>
      <c r="C113" s="18"/>
      <c r="D113" s="21"/>
      <c r="E113" s="21"/>
      <c r="F113" s="21"/>
      <c r="G113" s="36"/>
      <c r="H113" s="36"/>
      <c r="I113" s="36"/>
      <c r="J113" s="37"/>
      <c r="K113" s="18"/>
      <c r="L113" s="28" t="str">
        <f t="shared" si="11"/>
        <v/>
      </c>
      <c r="M113" s="29" t="str">
        <f t="shared" si="12"/>
        <v/>
      </c>
      <c r="N113" s="29" t="str">
        <f t="shared" si="13"/>
        <v/>
      </c>
      <c r="O113" s="30" t="str">
        <f t="shared" si="14"/>
        <v/>
      </c>
      <c r="P113" s="28" t="str">
        <f>IF($C113="","",IFERROR(INDEX(CA_TG,MATCH(B113,DS_CA,0))-INDEX(CA_NGHI,MATCH(B113,DS_CA,0))-SUMIFS('3 Nhật ký dừng máy'!$I$6:$I$1005,'3 Nhật ký dừng máy'!$A$6:$A$1005,$A113,'3 Nhật ký dừng máy'!$B$6:$B$1005,$B113,'3 Nhật ký dừng máy'!$C$6:$C$1005,$C113,'3 Nhật ký dừng máy'!$K$6:$K$1005,"Có kế hoạch"),"?"))</f>
        <v/>
      </c>
      <c r="Q113" s="28" t="str">
        <f>IF($C113="","",SUMIFS('3 Nhật ký dừng máy'!$I$6:$I$1005,'3 Nhật ký dừng máy'!$A$6:$A$1005,$A113,'3 Nhật ký dừng máy'!$B$6:$B$1005,$B113,'3 Nhật ký dừng máy'!$C$6:$C$1005,$C113,'3 Nhật ký dừng máy'!$K$6:$K$1005,"Ngoài kế hoạch"))</f>
        <v/>
      </c>
      <c r="R113" s="30" t="str">
        <f>IF($C113="","",COUNTIFS('3 Nhật ký dừng máy'!$A$6:$A$1005,$A113,'3 Nhật ký dừng máy'!$B$6:$B$1005,$B113,'3 Nhật ký dừng máy'!$C$6:$C$1005,$C113,'3 Nhật ký dừng máy'!$K$6:$K$1005,"Ngoài kế hoạch"))</f>
        <v/>
      </c>
      <c r="S113" s="31" t="str">
        <f t="shared" si="15"/>
        <v/>
      </c>
      <c r="T113" s="31" t="str">
        <f t="shared" si="16"/>
        <v/>
      </c>
      <c r="U113" s="31" t="str">
        <f t="shared" si="17"/>
        <v/>
      </c>
      <c r="V113" s="32" t="str">
        <f t="shared" si="18"/>
        <v/>
      </c>
      <c r="W113" s="30" t="str">
        <f t="shared" si="19"/>
        <v/>
      </c>
      <c r="X113" s="33" t="str">
        <f t="shared" si="20"/>
        <v/>
      </c>
      <c r="Y113" s="34" t="str">
        <f t="shared" si="21"/>
        <v/>
      </c>
    </row>
    <row r="114" spans="1:25" x14ac:dyDescent="0.2">
      <c r="A114" s="35"/>
      <c r="B114" s="21"/>
      <c r="C114" s="18"/>
      <c r="D114" s="21"/>
      <c r="E114" s="21"/>
      <c r="F114" s="21"/>
      <c r="G114" s="36"/>
      <c r="H114" s="36"/>
      <c r="I114" s="36"/>
      <c r="J114" s="37"/>
      <c r="K114" s="18"/>
      <c r="L114" s="28" t="str">
        <f t="shared" si="11"/>
        <v/>
      </c>
      <c r="M114" s="29" t="str">
        <f t="shared" si="12"/>
        <v/>
      </c>
      <c r="N114" s="29" t="str">
        <f t="shared" si="13"/>
        <v/>
      </c>
      <c r="O114" s="30" t="str">
        <f t="shared" si="14"/>
        <v/>
      </c>
      <c r="P114" s="28" t="str">
        <f>IF($C114="","",IFERROR(INDEX(CA_TG,MATCH(B114,DS_CA,0))-INDEX(CA_NGHI,MATCH(B114,DS_CA,0))-SUMIFS('3 Nhật ký dừng máy'!$I$6:$I$1005,'3 Nhật ký dừng máy'!$A$6:$A$1005,$A114,'3 Nhật ký dừng máy'!$B$6:$B$1005,$B114,'3 Nhật ký dừng máy'!$C$6:$C$1005,$C114,'3 Nhật ký dừng máy'!$K$6:$K$1005,"Có kế hoạch"),"?"))</f>
        <v/>
      </c>
      <c r="Q114" s="28" t="str">
        <f>IF($C114="","",SUMIFS('3 Nhật ký dừng máy'!$I$6:$I$1005,'3 Nhật ký dừng máy'!$A$6:$A$1005,$A114,'3 Nhật ký dừng máy'!$B$6:$B$1005,$B114,'3 Nhật ký dừng máy'!$C$6:$C$1005,$C114,'3 Nhật ký dừng máy'!$K$6:$K$1005,"Ngoài kế hoạch"))</f>
        <v/>
      </c>
      <c r="R114" s="30" t="str">
        <f>IF($C114="","",COUNTIFS('3 Nhật ký dừng máy'!$A$6:$A$1005,$A114,'3 Nhật ký dừng máy'!$B$6:$B$1005,$B114,'3 Nhật ký dừng máy'!$C$6:$C$1005,$C114,'3 Nhật ký dừng máy'!$K$6:$K$1005,"Ngoài kế hoạch"))</f>
        <v/>
      </c>
      <c r="S114" s="31" t="str">
        <f t="shared" si="15"/>
        <v/>
      </c>
      <c r="T114" s="31" t="str">
        <f t="shared" si="16"/>
        <v/>
      </c>
      <c r="U114" s="31" t="str">
        <f t="shared" si="17"/>
        <v/>
      </c>
      <c r="V114" s="32" t="str">
        <f t="shared" si="18"/>
        <v/>
      </c>
      <c r="W114" s="30" t="str">
        <f t="shared" si="19"/>
        <v/>
      </c>
      <c r="X114" s="33" t="str">
        <f t="shared" si="20"/>
        <v/>
      </c>
      <c r="Y114" s="34" t="str">
        <f t="shared" si="21"/>
        <v/>
      </c>
    </row>
    <row r="115" spans="1:25" x14ac:dyDescent="0.2">
      <c r="A115" s="35"/>
      <c r="B115" s="21"/>
      <c r="C115" s="18"/>
      <c r="D115" s="21"/>
      <c r="E115" s="21"/>
      <c r="F115" s="21"/>
      <c r="G115" s="36"/>
      <c r="H115" s="36"/>
      <c r="I115" s="36"/>
      <c r="J115" s="37"/>
      <c r="K115" s="18"/>
      <c r="L115" s="28" t="str">
        <f t="shared" si="11"/>
        <v/>
      </c>
      <c r="M115" s="29" t="str">
        <f t="shared" si="12"/>
        <v/>
      </c>
      <c r="N115" s="29" t="str">
        <f t="shared" si="13"/>
        <v/>
      </c>
      <c r="O115" s="30" t="str">
        <f t="shared" si="14"/>
        <v/>
      </c>
      <c r="P115" s="28" t="str">
        <f>IF($C115="","",IFERROR(INDEX(CA_TG,MATCH(B115,DS_CA,0))-INDEX(CA_NGHI,MATCH(B115,DS_CA,0))-SUMIFS('3 Nhật ký dừng máy'!$I$6:$I$1005,'3 Nhật ký dừng máy'!$A$6:$A$1005,$A115,'3 Nhật ký dừng máy'!$B$6:$B$1005,$B115,'3 Nhật ký dừng máy'!$C$6:$C$1005,$C115,'3 Nhật ký dừng máy'!$K$6:$K$1005,"Có kế hoạch"),"?"))</f>
        <v/>
      </c>
      <c r="Q115" s="28" t="str">
        <f>IF($C115="","",SUMIFS('3 Nhật ký dừng máy'!$I$6:$I$1005,'3 Nhật ký dừng máy'!$A$6:$A$1005,$A115,'3 Nhật ký dừng máy'!$B$6:$B$1005,$B115,'3 Nhật ký dừng máy'!$C$6:$C$1005,$C115,'3 Nhật ký dừng máy'!$K$6:$K$1005,"Ngoài kế hoạch"))</f>
        <v/>
      </c>
      <c r="R115" s="30" t="str">
        <f>IF($C115="","",COUNTIFS('3 Nhật ký dừng máy'!$A$6:$A$1005,$A115,'3 Nhật ký dừng máy'!$B$6:$B$1005,$B115,'3 Nhật ký dừng máy'!$C$6:$C$1005,$C115,'3 Nhật ký dừng máy'!$K$6:$K$1005,"Ngoài kế hoạch"))</f>
        <v/>
      </c>
      <c r="S115" s="31" t="str">
        <f t="shared" si="15"/>
        <v/>
      </c>
      <c r="T115" s="31" t="str">
        <f t="shared" si="16"/>
        <v/>
      </c>
      <c r="U115" s="31" t="str">
        <f t="shared" si="17"/>
        <v/>
      </c>
      <c r="V115" s="32" t="str">
        <f t="shared" si="18"/>
        <v/>
      </c>
      <c r="W115" s="30" t="str">
        <f t="shared" si="19"/>
        <v/>
      </c>
      <c r="X115" s="33" t="str">
        <f t="shared" si="20"/>
        <v/>
      </c>
      <c r="Y115" s="34" t="str">
        <f t="shared" si="21"/>
        <v/>
      </c>
    </row>
    <row r="116" spans="1:25" x14ac:dyDescent="0.2">
      <c r="A116" s="35"/>
      <c r="B116" s="21"/>
      <c r="C116" s="18"/>
      <c r="D116" s="21"/>
      <c r="E116" s="21"/>
      <c r="F116" s="21"/>
      <c r="G116" s="36"/>
      <c r="H116" s="36"/>
      <c r="I116" s="36"/>
      <c r="J116" s="37"/>
      <c r="K116" s="18"/>
      <c r="L116" s="28" t="str">
        <f t="shared" si="11"/>
        <v/>
      </c>
      <c r="M116" s="29" t="str">
        <f t="shared" si="12"/>
        <v/>
      </c>
      <c r="N116" s="29" t="str">
        <f t="shared" si="13"/>
        <v/>
      </c>
      <c r="O116" s="30" t="str">
        <f t="shared" si="14"/>
        <v/>
      </c>
      <c r="P116" s="28" t="str">
        <f>IF($C116="","",IFERROR(INDEX(CA_TG,MATCH(B116,DS_CA,0))-INDEX(CA_NGHI,MATCH(B116,DS_CA,0))-SUMIFS('3 Nhật ký dừng máy'!$I$6:$I$1005,'3 Nhật ký dừng máy'!$A$6:$A$1005,$A116,'3 Nhật ký dừng máy'!$B$6:$B$1005,$B116,'3 Nhật ký dừng máy'!$C$6:$C$1005,$C116,'3 Nhật ký dừng máy'!$K$6:$K$1005,"Có kế hoạch"),"?"))</f>
        <v/>
      </c>
      <c r="Q116" s="28" t="str">
        <f>IF($C116="","",SUMIFS('3 Nhật ký dừng máy'!$I$6:$I$1005,'3 Nhật ký dừng máy'!$A$6:$A$1005,$A116,'3 Nhật ký dừng máy'!$B$6:$B$1005,$B116,'3 Nhật ký dừng máy'!$C$6:$C$1005,$C116,'3 Nhật ký dừng máy'!$K$6:$K$1005,"Ngoài kế hoạch"))</f>
        <v/>
      </c>
      <c r="R116" s="30" t="str">
        <f>IF($C116="","",COUNTIFS('3 Nhật ký dừng máy'!$A$6:$A$1005,$A116,'3 Nhật ký dừng máy'!$B$6:$B$1005,$B116,'3 Nhật ký dừng máy'!$C$6:$C$1005,$C116,'3 Nhật ký dừng máy'!$K$6:$K$1005,"Ngoài kế hoạch"))</f>
        <v/>
      </c>
      <c r="S116" s="31" t="str">
        <f t="shared" si="15"/>
        <v/>
      </c>
      <c r="T116" s="31" t="str">
        <f t="shared" si="16"/>
        <v/>
      </c>
      <c r="U116" s="31" t="str">
        <f t="shared" si="17"/>
        <v/>
      </c>
      <c r="V116" s="32" t="str">
        <f t="shared" si="18"/>
        <v/>
      </c>
      <c r="W116" s="30" t="str">
        <f t="shared" si="19"/>
        <v/>
      </c>
      <c r="X116" s="33" t="str">
        <f t="shared" si="20"/>
        <v/>
      </c>
      <c r="Y116" s="34" t="str">
        <f t="shared" si="21"/>
        <v/>
      </c>
    </row>
    <row r="117" spans="1:25" x14ac:dyDescent="0.2">
      <c r="A117" s="35"/>
      <c r="B117" s="21"/>
      <c r="C117" s="18"/>
      <c r="D117" s="21"/>
      <c r="E117" s="21"/>
      <c r="F117" s="21"/>
      <c r="G117" s="36"/>
      <c r="H117" s="36"/>
      <c r="I117" s="36"/>
      <c r="J117" s="37"/>
      <c r="K117" s="18"/>
      <c r="L117" s="28" t="str">
        <f t="shared" si="11"/>
        <v/>
      </c>
      <c r="M117" s="29" t="str">
        <f t="shared" si="12"/>
        <v/>
      </c>
      <c r="N117" s="29" t="str">
        <f t="shared" si="13"/>
        <v/>
      </c>
      <c r="O117" s="30" t="str">
        <f t="shared" si="14"/>
        <v/>
      </c>
      <c r="P117" s="28" t="str">
        <f>IF($C117="","",IFERROR(INDEX(CA_TG,MATCH(B117,DS_CA,0))-INDEX(CA_NGHI,MATCH(B117,DS_CA,0))-SUMIFS('3 Nhật ký dừng máy'!$I$6:$I$1005,'3 Nhật ký dừng máy'!$A$6:$A$1005,$A117,'3 Nhật ký dừng máy'!$B$6:$B$1005,$B117,'3 Nhật ký dừng máy'!$C$6:$C$1005,$C117,'3 Nhật ký dừng máy'!$K$6:$K$1005,"Có kế hoạch"),"?"))</f>
        <v/>
      </c>
      <c r="Q117" s="28" t="str">
        <f>IF($C117="","",SUMIFS('3 Nhật ký dừng máy'!$I$6:$I$1005,'3 Nhật ký dừng máy'!$A$6:$A$1005,$A117,'3 Nhật ký dừng máy'!$B$6:$B$1005,$B117,'3 Nhật ký dừng máy'!$C$6:$C$1005,$C117,'3 Nhật ký dừng máy'!$K$6:$K$1005,"Ngoài kế hoạch"))</f>
        <v/>
      </c>
      <c r="R117" s="30" t="str">
        <f>IF($C117="","",COUNTIFS('3 Nhật ký dừng máy'!$A$6:$A$1005,$A117,'3 Nhật ký dừng máy'!$B$6:$B$1005,$B117,'3 Nhật ký dừng máy'!$C$6:$C$1005,$C117,'3 Nhật ký dừng máy'!$K$6:$K$1005,"Ngoài kế hoạch"))</f>
        <v/>
      </c>
      <c r="S117" s="31" t="str">
        <f t="shared" si="15"/>
        <v/>
      </c>
      <c r="T117" s="31" t="str">
        <f t="shared" si="16"/>
        <v/>
      </c>
      <c r="U117" s="31" t="str">
        <f t="shared" si="17"/>
        <v/>
      </c>
      <c r="V117" s="32" t="str">
        <f t="shared" si="18"/>
        <v/>
      </c>
      <c r="W117" s="30" t="str">
        <f t="shared" si="19"/>
        <v/>
      </c>
      <c r="X117" s="33" t="str">
        <f t="shared" si="20"/>
        <v/>
      </c>
      <c r="Y117" s="34" t="str">
        <f t="shared" si="21"/>
        <v/>
      </c>
    </row>
    <row r="118" spans="1:25" x14ac:dyDescent="0.2">
      <c r="A118" s="35"/>
      <c r="B118" s="21"/>
      <c r="C118" s="18"/>
      <c r="D118" s="21"/>
      <c r="E118" s="21"/>
      <c r="F118" s="21"/>
      <c r="G118" s="36"/>
      <c r="H118" s="36"/>
      <c r="I118" s="36"/>
      <c r="J118" s="37"/>
      <c r="K118" s="18"/>
      <c r="L118" s="28" t="str">
        <f t="shared" si="11"/>
        <v/>
      </c>
      <c r="M118" s="29" t="str">
        <f t="shared" si="12"/>
        <v/>
      </c>
      <c r="N118" s="29" t="str">
        <f t="shared" si="13"/>
        <v/>
      </c>
      <c r="O118" s="30" t="str">
        <f t="shared" si="14"/>
        <v/>
      </c>
      <c r="P118" s="28" t="str">
        <f>IF($C118="","",IFERROR(INDEX(CA_TG,MATCH(B118,DS_CA,0))-INDEX(CA_NGHI,MATCH(B118,DS_CA,0))-SUMIFS('3 Nhật ký dừng máy'!$I$6:$I$1005,'3 Nhật ký dừng máy'!$A$6:$A$1005,$A118,'3 Nhật ký dừng máy'!$B$6:$B$1005,$B118,'3 Nhật ký dừng máy'!$C$6:$C$1005,$C118,'3 Nhật ký dừng máy'!$K$6:$K$1005,"Có kế hoạch"),"?"))</f>
        <v/>
      </c>
      <c r="Q118" s="28" t="str">
        <f>IF($C118="","",SUMIFS('3 Nhật ký dừng máy'!$I$6:$I$1005,'3 Nhật ký dừng máy'!$A$6:$A$1005,$A118,'3 Nhật ký dừng máy'!$B$6:$B$1005,$B118,'3 Nhật ký dừng máy'!$C$6:$C$1005,$C118,'3 Nhật ký dừng máy'!$K$6:$K$1005,"Ngoài kế hoạch"))</f>
        <v/>
      </c>
      <c r="R118" s="30" t="str">
        <f>IF($C118="","",COUNTIFS('3 Nhật ký dừng máy'!$A$6:$A$1005,$A118,'3 Nhật ký dừng máy'!$B$6:$B$1005,$B118,'3 Nhật ký dừng máy'!$C$6:$C$1005,$C118,'3 Nhật ký dừng máy'!$K$6:$K$1005,"Ngoài kế hoạch"))</f>
        <v/>
      </c>
      <c r="S118" s="31" t="str">
        <f t="shared" si="15"/>
        <v/>
      </c>
      <c r="T118" s="31" t="str">
        <f t="shared" si="16"/>
        <v/>
      </c>
      <c r="U118" s="31" t="str">
        <f t="shared" si="17"/>
        <v/>
      </c>
      <c r="V118" s="32" t="str">
        <f t="shared" si="18"/>
        <v/>
      </c>
      <c r="W118" s="30" t="str">
        <f t="shared" si="19"/>
        <v/>
      </c>
      <c r="X118" s="33" t="str">
        <f t="shared" si="20"/>
        <v/>
      </c>
      <c r="Y118" s="34" t="str">
        <f t="shared" si="21"/>
        <v/>
      </c>
    </row>
    <row r="119" spans="1:25" x14ac:dyDescent="0.2">
      <c r="A119" s="35"/>
      <c r="B119" s="21"/>
      <c r="C119" s="18"/>
      <c r="D119" s="21"/>
      <c r="E119" s="21"/>
      <c r="F119" s="21"/>
      <c r="G119" s="36"/>
      <c r="H119" s="36"/>
      <c r="I119" s="36"/>
      <c r="J119" s="37"/>
      <c r="K119" s="18"/>
      <c r="L119" s="28" t="str">
        <f t="shared" si="11"/>
        <v/>
      </c>
      <c r="M119" s="29" t="str">
        <f t="shared" si="12"/>
        <v/>
      </c>
      <c r="N119" s="29" t="str">
        <f t="shared" si="13"/>
        <v/>
      </c>
      <c r="O119" s="30" t="str">
        <f t="shared" si="14"/>
        <v/>
      </c>
      <c r="P119" s="28" t="str">
        <f>IF($C119="","",IFERROR(INDEX(CA_TG,MATCH(B119,DS_CA,0))-INDEX(CA_NGHI,MATCH(B119,DS_CA,0))-SUMIFS('3 Nhật ký dừng máy'!$I$6:$I$1005,'3 Nhật ký dừng máy'!$A$6:$A$1005,$A119,'3 Nhật ký dừng máy'!$B$6:$B$1005,$B119,'3 Nhật ký dừng máy'!$C$6:$C$1005,$C119,'3 Nhật ký dừng máy'!$K$6:$K$1005,"Có kế hoạch"),"?"))</f>
        <v/>
      </c>
      <c r="Q119" s="28" t="str">
        <f>IF($C119="","",SUMIFS('3 Nhật ký dừng máy'!$I$6:$I$1005,'3 Nhật ký dừng máy'!$A$6:$A$1005,$A119,'3 Nhật ký dừng máy'!$B$6:$B$1005,$B119,'3 Nhật ký dừng máy'!$C$6:$C$1005,$C119,'3 Nhật ký dừng máy'!$K$6:$K$1005,"Ngoài kế hoạch"))</f>
        <v/>
      </c>
      <c r="R119" s="30" t="str">
        <f>IF($C119="","",COUNTIFS('3 Nhật ký dừng máy'!$A$6:$A$1005,$A119,'3 Nhật ký dừng máy'!$B$6:$B$1005,$B119,'3 Nhật ký dừng máy'!$C$6:$C$1005,$C119,'3 Nhật ký dừng máy'!$K$6:$K$1005,"Ngoài kế hoạch"))</f>
        <v/>
      </c>
      <c r="S119" s="31" t="str">
        <f t="shared" si="15"/>
        <v/>
      </c>
      <c r="T119" s="31" t="str">
        <f t="shared" si="16"/>
        <v/>
      </c>
      <c r="U119" s="31" t="str">
        <f t="shared" si="17"/>
        <v/>
      </c>
      <c r="V119" s="32" t="str">
        <f t="shared" si="18"/>
        <v/>
      </c>
      <c r="W119" s="30" t="str">
        <f t="shared" si="19"/>
        <v/>
      </c>
      <c r="X119" s="33" t="str">
        <f t="shared" si="20"/>
        <v/>
      </c>
      <c r="Y119" s="34" t="str">
        <f t="shared" si="21"/>
        <v/>
      </c>
    </row>
    <row r="120" spans="1:25" x14ac:dyDescent="0.2">
      <c r="A120" s="35"/>
      <c r="B120" s="21"/>
      <c r="C120" s="18"/>
      <c r="D120" s="21"/>
      <c r="E120" s="21"/>
      <c r="F120" s="21"/>
      <c r="G120" s="36"/>
      <c r="H120" s="36"/>
      <c r="I120" s="36"/>
      <c r="J120" s="37"/>
      <c r="K120" s="18"/>
      <c r="L120" s="28" t="str">
        <f t="shared" si="11"/>
        <v/>
      </c>
      <c r="M120" s="29" t="str">
        <f t="shared" si="12"/>
        <v/>
      </c>
      <c r="N120" s="29" t="str">
        <f t="shared" si="13"/>
        <v/>
      </c>
      <c r="O120" s="30" t="str">
        <f t="shared" si="14"/>
        <v/>
      </c>
      <c r="P120" s="28" t="str">
        <f>IF($C120="","",IFERROR(INDEX(CA_TG,MATCH(B120,DS_CA,0))-INDEX(CA_NGHI,MATCH(B120,DS_CA,0))-SUMIFS('3 Nhật ký dừng máy'!$I$6:$I$1005,'3 Nhật ký dừng máy'!$A$6:$A$1005,$A120,'3 Nhật ký dừng máy'!$B$6:$B$1005,$B120,'3 Nhật ký dừng máy'!$C$6:$C$1005,$C120,'3 Nhật ký dừng máy'!$K$6:$K$1005,"Có kế hoạch"),"?"))</f>
        <v/>
      </c>
      <c r="Q120" s="28" t="str">
        <f>IF($C120="","",SUMIFS('3 Nhật ký dừng máy'!$I$6:$I$1005,'3 Nhật ký dừng máy'!$A$6:$A$1005,$A120,'3 Nhật ký dừng máy'!$B$6:$B$1005,$B120,'3 Nhật ký dừng máy'!$C$6:$C$1005,$C120,'3 Nhật ký dừng máy'!$K$6:$K$1005,"Ngoài kế hoạch"))</f>
        <v/>
      </c>
      <c r="R120" s="30" t="str">
        <f>IF($C120="","",COUNTIFS('3 Nhật ký dừng máy'!$A$6:$A$1005,$A120,'3 Nhật ký dừng máy'!$B$6:$B$1005,$B120,'3 Nhật ký dừng máy'!$C$6:$C$1005,$C120,'3 Nhật ký dừng máy'!$K$6:$K$1005,"Ngoài kế hoạch"))</f>
        <v/>
      </c>
      <c r="S120" s="31" t="str">
        <f t="shared" si="15"/>
        <v/>
      </c>
      <c r="T120" s="31" t="str">
        <f t="shared" si="16"/>
        <v/>
      </c>
      <c r="U120" s="31" t="str">
        <f t="shared" si="17"/>
        <v/>
      </c>
      <c r="V120" s="32" t="str">
        <f t="shared" si="18"/>
        <v/>
      </c>
      <c r="W120" s="30" t="str">
        <f t="shared" si="19"/>
        <v/>
      </c>
      <c r="X120" s="33" t="str">
        <f t="shared" si="20"/>
        <v/>
      </c>
      <c r="Y120" s="34" t="str">
        <f t="shared" si="21"/>
        <v/>
      </c>
    </row>
    <row r="121" spans="1:25" x14ac:dyDescent="0.2">
      <c r="A121" s="35"/>
      <c r="B121" s="21"/>
      <c r="C121" s="18"/>
      <c r="D121" s="21"/>
      <c r="E121" s="21"/>
      <c r="F121" s="21"/>
      <c r="G121" s="36"/>
      <c r="H121" s="36"/>
      <c r="I121" s="36"/>
      <c r="J121" s="37"/>
      <c r="K121" s="18"/>
      <c r="L121" s="28" t="str">
        <f t="shared" si="11"/>
        <v/>
      </c>
      <c r="M121" s="29" t="str">
        <f t="shared" si="12"/>
        <v/>
      </c>
      <c r="N121" s="29" t="str">
        <f t="shared" si="13"/>
        <v/>
      </c>
      <c r="O121" s="30" t="str">
        <f t="shared" si="14"/>
        <v/>
      </c>
      <c r="P121" s="28" t="str">
        <f>IF($C121="","",IFERROR(INDEX(CA_TG,MATCH(B121,DS_CA,0))-INDEX(CA_NGHI,MATCH(B121,DS_CA,0))-SUMIFS('3 Nhật ký dừng máy'!$I$6:$I$1005,'3 Nhật ký dừng máy'!$A$6:$A$1005,$A121,'3 Nhật ký dừng máy'!$B$6:$B$1005,$B121,'3 Nhật ký dừng máy'!$C$6:$C$1005,$C121,'3 Nhật ký dừng máy'!$K$6:$K$1005,"Có kế hoạch"),"?"))</f>
        <v/>
      </c>
      <c r="Q121" s="28" t="str">
        <f>IF($C121="","",SUMIFS('3 Nhật ký dừng máy'!$I$6:$I$1005,'3 Nhật ký dừng máy'!$A$6:$A$1005,$A121,'3 Nhật ký dừng máy'!$B$6:$B$1005,$B121,'3 Nhật ký dừng máy'!$C$6:$C$1005,$C121,'3 Nhật ký dừng máy'!$K$6:$K$1005,"Ngoài kế hoạch"))</f>
        <v/>
      </c>
      <c r="R121" s="30" t="str">
        <f>IF($C121="","",COUNTIFS('3 Nhật ký dừng máy'!$A$6:$A$1005,$A121,'3 Nhật ký dừng máy'!$B$6:$B$1005,$B121,'3 Nhật ký dừng máy'!$C$6:$C$1005,$C121,'3 Nhật ký dừng máy'!$K$6:$K$1005,"Ngoài kế hoạch"))</f>
        <v/>
      </c>
      <c r="S121" s="31" t="str">
        <f t="shared" si="15"/>
        <v/>
      </c>
      <c r="T121" s="31" t="str">
        <f t="shared" si="16"/>
        <v/>
      </c>
      <c r="U121" s="31" t="str">
        <f t="shared" si="17"/>
        <v/>
      </c>
      <c r="V121" s="32" t="str">
        <f t="shared" si="18"/>
        <v/>
      </c>
      <c r="W121" s="30" t="str">
        <f t="shared" si="19"/>
        <v/>
      </c>
      <c r="X121" s="33" t="str">
        <f t="shared" si="20"/>
        <v/>
      </c>
      <c r="Y121" s="34" t="str">
        <f t="shared" si="21"/>
        <v/>
      </c>
    </row>
    <row r="122" spans="1:25" x14ac:dyDescent="0.2">
      <c r="A122" s="35"/>
      <c r="B122" s="21"/>
      <c r="C122" s="18"/>
      <c r="D122" s="21"/>
      <c r="E122" s="21"/>
      <c r="F122" s="21"/>
      <c r="G122" s="36"/>
      <c r="H122" s="36"/>
      <c r="I122" s="36"/>
      <c r="J122" s="37"/>
      <c r="K122" s="18"/>
      <c r="L122" s="28" t="str">
        <f t="shared" si="11"/>
        <v/>
      </c>
      <c r="M122" s="29" t="str">
        <f t="shared" si="12"/>
        <v/>
      </c>
      <c r="N122" s="29" t="str">
        <f t="shared" si="13"/>
        <v/>
      </c>
      <c r="O122" s="30" t="str">
        <f t="shared" si="14"/>
        <v/>
      </c>
      <c r="P122" s="28" t="str">
        <f>IF($C122="","",IFERROR(INDEX(CA_TG,MATCH(B122,DS_CA,0))-INDEX(CA_NGHI,MATCH(B122,DS_CA,0))-SUMIFS('3 Nhật ký dừng máy'!$I$6:$I$1005,'3 Nhật ký dừng máy'!$A$6:$A$1005,$A122,'3 Nhật ký dừng máy'!$B$6:$B$1005,$B122,'3 Nhật ký dừng máy'!$C$6:$C$1005,$C122,'3 Nhật ký dừng máy'!$K$6:$K$1005,"Có kế hoạch"),"?"))</f>
        <v/>
      </c>
      <c r="Q122" s="28" t="str">
        <f>IF($C122="","",SUMIFS('3 Nhật ký dừng máy'!$I$6:$I$1005,'3 Nhật ký dừng máy'!$A$6:$A$1005,$A122,'3 Nhật ký dừng máy'!$B$6:$B$1005,$B122,'3 Nhật ký dừng máy'!$C$6:$C$1005,$C122,'3 Nhật ký dừng máy'!$K$6:$K$1005,"Ngoài kế hoạch"))</f>
        <v/>
      </c>
      <c r="R122" s="30" t="str">
        <f>IF($C122="","",COUNTIFS('3 Nhật ký dừng máy'!$A$6:$A$1005,$A122,'3 Nhật ký dừng máy'!$B$6:$B$1005,$B122,'3 Nhật ký dừng máy'!$C$6:$C$1005,$C122,'3 Nhật ký dừng máy'!$K$6:$K$1005,"Ngoài kế hoạch"))</f>
        <v/>
      </c>
      <c r="S122" s="31" t="str">
        <f t="shared" si="15"/>
        <v/>
      </c>
      <c r="T122" s="31" t="str">
        <f t="shared" si="16"/>
        <v/>
      </c>
      <c r="U122" s="31" t="str">
        <f t="shared" si="17"/>
        <v/>
      </c>
      <c r="V122" s="32" t="str">
        <f t="shared" si="18"/>
        <v/>
      </c>
      <c r="W122" s="30" t="str">
        <f t="shared" si="19"/>
        <v/>
      </c>
      <c r="X122" s="33" t="str">
        <f t="shared" si="20"/>
        <v/>
      </c>
      <c r="Y122" s="34" t="str">
        <f t="shared" si="21"/>
        <v/>
      </c>
    </row>
    <row r="123" spans="1:25" x14ac:dyDescent="0.2">
      <c r="A123" s="35"/>
      <c r="B123" s="21"/>
      <c r="C123" s="18"/>
      <c r="D123" s="21"/>
      <c r="E123" s="21"/>
      <c r="F123" s="21"/>
      <c r="G123" s="36"/>
      <c r="H123" s="36"/>
      <c r="I123" s="36"/>
      <c r="J123" s="37"/>
      <c r="K123" s="18"/>
      <c r="L123" s="28" t="str">
        <f t="shared" si="11"/>
        <v/>
      </c>
      <c r="M123" s="29" t="str">
        <f t="shared" si="12"/>
        <v/>
      </c>
      <c r="N123" s="29" t="str">
        <f t="shared" si="13"/>
        <v/>
      </c>
      <c r="O123" s="30" t="str">
        <f t="shared" si="14"/>
        <v/>
      </c>
      <c r="P123" s="28" t="str">
        <f>IF($C123="","",IFERROR(INDEX(CA_TG,MATCH(B123,DS_CA,0))-INDEX(CA_NGHI,MATCH(B123,DS_CA,0))-SUMIFS('3 Nhật ký dừng máy'!$I$6:$I$1005,'3 Nhật ký dừng máy'!$A$6:$A$1005,$A123,'3 Nhật ký dừng máy'!$B$6:$B$1005,$B123,'3 Nhật ký dừng máy'!$C$6:$C$1005,$C123,'3 Nhật ký dừng máy'!$K$6:$K$1005,"Có kế hoạch"),"?"))</f>
        <v/>
      </c>
      <c r="Q123" s="28" t="str">
        <f>IF($C123="","",SUMIFS('3 Nhật ký dừng máy'!$I$6:$I$1005,'3 Nhật ký dừng máy'!$A$6:$A$1005,$A123,'3 Nhật ký dừng máy'!$B$6:$B$1005,$B123,'3 Nhật ký dừng máy'!$C$6:$C$1005,$C123,'3 Nhật ký dừng máy'!$K$6:$K$1005,"Ngoài kế hoạch"))</f>
        <v/>
      </c>
      <c r="R123" s="30" t="str">
        <f>IF($C123="","",COUNTIFS('3 Nhật ký dừng máy'!$A$6:$A$1005,$A123,'3 Nhật ký dừng máy'!$B$6:$B$1005,$B123,'3 Nhật ký dừng máy'!$C$6:$C$1005,$C123,'3 Nhật ký dừng máy'!$K$6:$K$1005,"Ngoài kế hoạch"))</f>
        <v/>
      </c>
      <c r="S123" s="31" t="str">
        <f t="shared" si="15"/>
        <v/>
      </c>
      <c r="T123" s="31" t="str">
        <f t="shared" si="16"/>
        <v/>
      </c>
      <c r="U123" s="31" t="str">
        <f t="shared" si="17"/>
        <v/>
      </c>
      <c r="V123" s="32" t="str">
        <f t="shared" si="18"/>
        <v/>
      </c>
      <c r="W123" s="30" t="str">
        <f t="shared" si="19"/>
        <v/>
      </c>
      <c r="X123" s="33" t="str">
        <f t="shared" si="20"/>
        <v/>
      </c>
      <c r="Y123" s="34" t="str">
        <f t="shared" si="21"/>
        <v/>
      </c>
    </row>
    <row r="124" spans="1:25" x14ac:dyDescent="0.2">
      <c r="A124" s="35"/>
      <c r="B124" s="21"/>
      <c r="C124" s="18"/>
      <c r="D124" s="21"/>
      <c r="E124" s="21"/>
      <c r="F124" s="21"/>
      <c r="G124" s="36"/>
      <c r="H124" s="36"/>
      <c r="I124" s="36"/>
      <c r="J124" s="37"/>
      <c r="K124" s="18"/>
      <c r="L124" s="28" t="str">
        <f t="shared" si="11"/>
        <v/>
      </c>
      <c r="M124" s="29" t="str">
        <f t="shared" si="12"/>
        <v/>
      </c>
      <c r="N124" s="29" t="str">
        <f t="shared" si="13"/>
        <v/>
      </c>
      <c r="O124" s="30" t="str">
        <f t="shared" si="14"/>
        <v/>
      </c>
      <c r="P124" s="28" t="str">
        <f>IF($C124="","",IFERROR(INDEX(CA_TG,MATCH(B124,DS_CA,0))-INDEX(CA_NGHI,MATCH(B124,DS_CA,0))-SUMIFS('3 Nhật ký dừng máy'!$I$6:$I$1005,'3 Nhật ký dừng máy'!$A$6:$A$1005,$A124,'3 Nhật ký dừng máy'!$B$6:$B$1005,$B124,'3 Nhật ký dừng máy'!$C$6:$C$1005,$C124,'3 Nhật ký dừng máy'!$K$6:$K$1005,"Có kế hoạch"),"?"))</f>
        <v/>
      </c>
      <c r="Q124" s="28" t="str">
        <f>IF($C124="","",SUMIFS('3 Nhật ký dừng máy'!$I$6:$I$1005,'3 Nhật ký dừng máy'!$A$6:$A$1005,$A124,'3 Nhật ký dừng máy'!$B$6:$B$1005,$B124,'3 Nhật ký dừng máy'!$C$6:$C$1005,$C124,'3 Nhật ký dừng máy'!$K$6:$K$1005,"Ngoài kế hoạch"))</f>
        <v/>
      </c>
      <c r="R124" s="30" t="str">
        <f>IF($C124="","",COUNTIFS('3 Nhật ký dừng máy'!$A$6:$A$1005,$A124,'3 Nhật ký dừng máy'!$B$6:$B$1005,$B124,'3 Nhật ký dừng máy'!$C$6:$C$1005,$C124,'3 Nhật ký dừng máy'!$K$6:$K$1005,"Ngoài kế hoạch"))</f>
        <v/>
      </c>
      <c r="S124" s="31" t="str">
        <f t="shared" si="15"/>
        <v/>
      </c>
      <c r="T124" s="31" t="str">
        <f t="shared" si="16"/>
        <v/>
      </c>
      <c r="U124" s="31" t="str">
        <f t="shared" si="17"/>
        <v/>
      </c>
      <c r="V124" s="32" t="str">
        <f t="shared" si="18"/>
        <v/>
      </c>
      <c r="W124" s="30" t="str">
        <f t="shared" si="19"/>
        <v/>
      </c>
      <c r="X124" s="33" t="str">
        <f t="shared" si="20"/>
        <v/>
      </c>
      <c r="Y124" s="34" t="str">
        <f t="shared" si="21"/>
        <v/>
      </c>
    </row>
    <row r="125" spans="1:25" x14ac:dyDescent="0.2">
      <c r="A125" s="35"/>
      <c r="B125" s="21"/>
      <c r="C125" s="18"/>
      <c r="D125" s="21"/>
      <c r="E125" s="21"/>
      <c r="F125" s="21"/>
      <c r="G125" s="36"/>
      <c r="H125" s="36"/>
      <c r="I125" s="36"/>
      <c r="J125" s="37"/>
      <c r="K125" s="18"/>
      <c r="L125" s="28" t="str">
        <f t="shared" si="11"/>
        <v/>
      </c>
      <c r="M125" s="29" t="str">
        <f t="shared" si="12"/>
        <v/>
      </c>
      <c r="N125" s="29" t="str">
        <f t="shared" si="13"/>
        <v/>
      </c>
      <c r="O125" s="30" t="str">
        <f t="shared" si="14"/>
        <v/>
      </c>
      <c r="P125" s="28" t="str">
        <f>IF($C125="","",IFERROR(INDEX(CA_TG,MATCH(B125,DS_CA,0))-INDEX(CA_NGHI,MATCH(B125,DS_CA,0))-SUMIFS('3 Nhật ký dừng máy'!$I$6:$I$1005,'3 Nhật ký dừng máy'!$A$6:$A$1005,$A125,'3 Nhật ký dừng máy'!$B$6:$B$1005,$B125,'3 Nhật ký dừng máy'!$C$6:$C$1005,$C125,'3 Nhật ký dừng máy'!$K$6:$K$1005,"Có kế hoạch"),"?"))</f>
        <v/>
      </c>
      <c r="Q125" s="28" t="str">
        <f>IF($C125="","",SUMIFS('3 Nhật ký dừng máy'!$I$6:$I$1005,'3 Nhật ký dừng máy'!$A$6:$A$1005,$A125,'3 Nhật ký dừng máy'!$B$6:$B$1005,$B125,'3 Nhật ký dừng máy'!$C$6:$C$1005,$C125,'3 Nhật ký dừng máy'!$K$6:$K$1005,"Ngoài kế hoạch"))</f>
        <v/>
      </c>
      <c r="R125" s="30" t="str">
        <f>IF($C125="","",COUNTIFS('3 Nhật ký dừng máy'!$A$6:$A$1005,$A125,'3 Nhật ký dừng máy'!$B$6:$B$1005,$B125,'3 Nhật ký dừng máy'!$C$6:$C$1005,$C125,'3 Nhật ký dừng máy'!$K$6:$K$1005,"Ngoài kế hoạch"))</f>
        <v/>
      </c>
      <c r="S125" s="31" t="str">
        <f t="shared" si="15"/>
        <v/>
      </c>
      <c r="T125" s="31" t="str">
        <f t="shared" si="16"/>
        <v/>
      </c>
      <c r="U125" s="31" t="str">
        <f t="shared" si="17"/>
        <v/>
      </c>
      <c r="V125" s="32" t="str">
        <f t="shared" si="18"/>
        <v/>
      </c>
      <c r="W125" s="30" t="str">
        <f t="shared" si="19"/>
        <v/>
      </c>
      <c r="X125" s="33" t="str">
        <f t="shared" si="20"/>
        <v/>
      </c>
      <c r="Y125" s="34" t="str">
        <f t="shared" si="21"/>
        <v/>
      </c>
    </row>
    <row r="126" spans="1:25" x14ac:dyDescent="0.2">
      <c r="A126" s="35"/>
      <c r="B126" s="21"/>
      <c r="C126" s="18"/>
      <c r="D126" s="21"/>
      <c r="E126" s="21"/>
      <c r="F126" s="21"/>
      <c r="G126" s="36"/>
      <c r="H126" s="36"/>
      <c r="I126" s="36"/>
      <c r="J126" s="37"/>
      <c r="K126" s="18"/>
      <c r="L126" s="28" t="str">
        <f t="shared" si="11"/>
        <v/>
      </c>
      <c r="M126" s="29" t="str">
        <f t="shared" si="12"/>
        <v/>
      </c>
      <c r="N126" s="29" t="str">
        <f t="shared" si="13"/>
        <v/>
      </c>
      <c r="O126" s="30" t="str">
        <f t="shared" si="14"/>
        <v/>
      </c>
      <c r="P126" s="28" t="str">
        <f>IF($C126="","",IFERROR(INDEX(CA_TG,MATCH(B126,DS_CA,0))-INDEX(CA_NGHI,MATCH(B126,DS_CA,0))-SUMIFS('3 Nhật ký dừng máy'!$I$6:$I$1005,'3 Nhật ký dừng máy'!$A$6:$A$1005,$A126,'3 Nhật ký dừng máy'!$B$6:$B$1005,$B126,'3 Nhật ký dừng máy'!$C$6:$C$1005,$C126,'3 Nhật ký dừng máy'!$K$6:$K$1005,"Có kế hoạch"),"?"))</f>
        <v/>
      </c>
      <c r="Q126" s="28" t="str">
        <f>IF($C126="","",SUMIFS('3 Nhật ký dừng máy'!$I$6:$I$1005,'3 Nhật ký dừng máy'!$A$6:$A$1005,$A126,'3 Nhật ký dừng máy'!$B$6:$B$1005,$B126,'3 Nhật ký dừng máy'!$C$6:$C$1005,$C126,'3 Nhật ký dừng máy'!$K$6:$K$1005,"Ngoài kế hoạch"))</f>
        <v/>
      </c>
      <c r="R126" s="30" t="str">
        <f>IF($C126="","",COUNTIFS('3 Nhật ký dừng máy'!$A$6:$A$1005,$A126,'3 Nhật ký dừng máy'!$B$6:$B$1005,$B126,'3 Nhật ký dừng máy'!$C$6:$C$1005,$C126,'3 Nhật ký dừng máy'!$K$6:$K$1005,"Ngoài kế hoạch"))</f>
        <v/>
      </c>
      <c r="S126" s="31" t="str">
        <f t="shared" si="15"/>
        <v/>
      </c>
      <c r="T126" s="31" t="str">
        <f t="shared" si="16"/>
        <v/>
      </c>
      <c r="U126" s="31" t="str">
        <f t="shared" si="17"/>
        <v/>
      </c>
      <c r="V126" s="32" t="str">
        <f t="shared" si="18"/>
        <v/>
      </c>
      <c r="W126" s="30" t="str">
        <f t="shared" si="19"/>
        <v/>
      </c>
      <c r="X126" s="33" t="str">
        <f t="shared" si="20"/>
        <v/>
      </c>
      <c r="Y126" s="34" t="str">
        <f t="shared" si="21"/>
        <v/>
      </c>
    </row>
    <row r="127" spans="1:25" x14ac:dyDescent="0.2">
      <c r="A127" s="35"/>
      <c r="B127" s="21"/>
      <c r="C127" s="18"/>
      <c r="D127" s="21"/>
      <c r="E127" s="21"/>
      <c r="F127" s="21"/>
      <c r="G127" s="36"/>
      <c r="H127" s="36"/>
      <c r="I127" s="36"/>
      <c r="J127" s="37"/>
      <c r="K127" s="18"/>
      <c r="L127" s="28" t="str">
        <f t="shared" si="11"/>
        <v/>
      </c>
      <c r="M127" s="29" t="str">
        <f t="shared" si="12"/>
        <v/>
      </c>
      <c r="N127" s="29" t="str">
        <f t="shared" si="13"/>
        <v/>
      </c>
      <c r="O127" s="30" t="str">
        <f t="shared" si="14"/>
        <v/>
      </c>
      <c r="P127" s="28" t="str">
        <f>IF($C127="","",IFERROR(INDEX(CA_TG,MATCH(B127,DS_CA,0))-INDEX(CA_NGHI,MATCH(B127,DS_CA,0))-SUMIFS('3 Nhật ký dừng máy'!$I$6:$I$1005,'3 Nhật ký dừng máy'!$A$6:$A$1005,$A127,'3 Nhật ký dừng máy'!$B$6:$B$1005,$B127,'3 Nhật ký dừng máy'!$C$6:$C$1005,$C127,'3 Nhật ký dừng máy'!$K$6:$K$1005,"Có kế hoạch"),"?"))</f>
        <v/>
      </c>
      <c r="Q127" s="28" t="str">
        <f>IF($C127="","",SUMIFS('3 Nhật ký dừng máy'!$I$6:$I$1005,'3 Nhật ký dừng máy'!$A$6:$A$1005,$A127,'3 Nhật ký dừng máy'!$B$6:$B$1005,$B127,'3 Nhật ký dừng máy'!$C$6:$C$1005,$C127,'3 Nhật ký dừng máy'!$K$6:$K$1005,"Ngoài kế hoạch"))</f>
        <v/>
      </c>
      <c r="R127" s="30" t="str">
        <f>IF($C127="","",COUNTIFS('3 Nhật ký dừng máy'!$A$6:$A$1005,$A127,'3 Nhật ký dừng máy'!$B$6:$B$1005,$B127,'3 Nhật ký dừng máy'!$C$6:$C$1005,$C127,'3 Nhật ký dừng máy'!$K$6:$K$1005,"Ngoài kế hoạch"))</f>
        <v/>
      </c>
      <c r="S127" s="31" t="str">
        <f t="shared" si="15"/>
        <v/>
      </c>
      <c r="T127" s="31" t="str">
        <f t="shared" si="16"/>
        <v/>
      </c>
      <c r="U127" s="31" t="str">
        <f t="shared" si="17"/>
        <v/>
      </c>
      <c r="V127" s="32" t="str">
        <f t="shared" si="18"/>
        <v/>
      </c>
      <c r="W127" s="30" t="str">
        <f t="shared" si="19"/>
        <v/>
      </c>
      <c r="X127" s="33" t="str">
        <f t="shared" si="20"/>
        <v/>
      </c>
      <c r="Y127" s="34" t="str">
        <f t="shared" si="21"/>
        <v/>
      </c>
    </row>
    <row r="128" spans="1:25" x14ac:dyDescent="0.2">
      <c r="A128" s="35"/>
      <c r="B128" s="21"/>
      <c r="C128" s="18"/>
      <c r="D128" s="21"/>
      <c r="E128" s="21"/>
      <c r="F128" s="21"/>
      <c r="G128" s="36"/>
      <c r="H128" s="36"/>
      <c r="I128" s="36"/>
      <c r="J128" s="37"/>
      <c r="K128" s="18"/>
      <c r="L128" s="28" t="str">
        <f t="shared" si="11"/>
        <v/>
      </c>
      <c r="M128" s="29" t="str">
        <f t="shared" si="12"/>
        <v/>
      </c>
      <c r="N128" s="29" t="str">
        <f t="shared" si="13"/>
        <v/>
      </c>
      <c r="O128" s="30" t="str">
        <f t="shared" si="14"/>
        <v/>
      </c>
      <c r="P128" s="28" t="str">
        <f>IF($C128="","",IFERROR(INDEX(CA_TG,MATCH(B128,DS_CA,0))-INDEX(CA_NGHI,MATCH(B128,DS_CA,0))-SUMIFS('3 Nhật ký dừng máy'!$I$6:$I$1005,'3 Nhật ký dừng máy'!$A$6:$A$1005,$A128,'3 Nhật ký dừng máy'!$B$6:$B$1005,$B128,'3 Nhật ký dừng máy'!$C$6:$C$1005,$C128,'3 Nhật ký dừng máy'!$K$6:$K$1005,"Có kế hoạch"),"?"))</f>
        <v/>
      </c>
      <c r="Q128" s="28" t="str">
        <f>IF($C128="","",SUMIFS('3 Nhật ký dừng máy'!$I$6:$I$1005,'3 Nhật ký dừng máy'!$A$6:$A$1005,$A128,'3 Nhật ký dừng máy'!$B$6:$B$1005,$B128,'3 Nhật ký dừng máy'!$C$6:$C$1005,$C128,'3 Nhật ký dừng máy'!$K$6:$K$1005,"Ngoài kế hoạch"))</f>
        <v/>
      </c>
      <c r="R128" s="30" t="str">
        <f>IF($C128="","",COUNTIFS('3 Nhật ký dừng máy'!$A$6:$A$1005,$A128,'3 Nhật ký dừng máy'!$B$6:$B$1005,$B128,'3 Nhật ký dừng máy'!$C$6:$C$1005,$C128,'3 Nhật ký dừng máy'!$K$6:$K$1005,"Ngoài kế hoạch"))</f>
        <v/>
      </c>
      <c r="S128" s="31" t="str">
        <f t="shared" si="15"/>
        <v/>
      </c>
      <c r="T128" s="31" t="str">
        <f t="shared" si="16"/>
        <v/>
      </c>
      <c r="U128" s="31" t="str">
        <f t="shared" si="17"/>
        <v/>
      </c>
      <c r="V128" s="32" t="str">
        <f t="shared" si="18"/>
        <v/>
      </c>
      <c r="W128" s="30" t="str">
        <f t="shared" si="19"/>
        <v/>
      </c>
      <c r="X128" s="33" t="str">
        <f t="shared" si="20"/>
        <v/>
      </c>
      <c r="Y128" s="34" t="str">
        <f t="shared" si="21"/>
        <v/>
      </c>
    </row>
    <row r="129" spans="1:25" x14ac:dyDescent="0.2">
      <c r="A129" s="35"/>
      <c r="B129" s="21"/>
      <c r="C129" s="18"/>
      <c r="D129" s="21"/>
      <c r="E129" s="21"/>
      <c r="F129" s="21"/>
      <c r="G129" s="36"/>
      <c r="H129" s="36"/>
      <c r="I129" s="36"/>
      <c r="J129" s="37"/>
      <c r="K129" s="18"/>
      <c r="L129" s="28" t="str">
        <f t="shared" si="11"/>
        <v/>
      </c>
      <c r="M129" s="29" t="str">
        <f t="shared" si="12"/>
        <v/>
      </c>
      <c r="N129" s="29" t="str">
        <f t="shared" si="13"/>
        <v/>
      </c>
      <c r="O129" s="30" t="str">
        <f t="shared" si="14"/>
        <v/>
      </c>
      <c r="P129" s="28" t="str">
        <f>IF($C129="","",IFERROR(INDEX(CA_TG,MATCH(B129,DS_CA,0))-INDEX(CA_NGHI,MATCH(B129,DS_CA,0))-SUMIFS('3 Nhật ký dừng máy'!$I$6:$I$1005,'3 Nhật ký dừng máy'!$A$6:$A$1005,$A129,'3 Nhật ký dừng máy'!$B$6:$B$1005,$B129,'3 Nhật ký dừng máy'!$C$6:$C$1005,$C129,'3 Nhật ký dừng máy'!$K$6:$K$1005,"Có kế hoạch"),"?"))</f>
        <v/>
      </c>
      <c r="Q129" s="28" t="str">
        <f>IF($C129="","",SUMIFS('3 Nhật ký dừng máy'!$I$6:$I$1005,'3 Nhật ký dừng máy'!$A$6:$A$1005,$A129,'3 Nhật ký dừng máy'!$B$6:$B$1005,$B129,'3 Nhật ký dừng máy'!$C$6:$C$1005,$C129,'3 Nhật ký dừng máy'!$K$6:$K$1005,"Ngoài kế hoạch"))</f>
        <v/>
      </c>
      <c r="R129" s="30" t="str">
        <f>IF($C129="","",COUNTIFS('3 Nhật ký dừng máy'!$A$6:$A$1005,$A129,'3 Nhật ký dừng máy'!$B$6:$B$1005,$B129,'3 Nhật ký dừng máy'!$C$6:$C$1005,$C129,'3 Nhật ký dừng máy'!$K$6:$K$1005,"Ngoài kế hoạch"))</f>
        <v/>
      </c>
      <c r="S129" s="31" t="str">
        <f t="shared" si="15"/>
        <v/>
      </c>
      <c r="T129" s="31" t="str">
        <f t="shared" si="16"/>
        <v/>
      </c>
      <c r="U129" s="31" t="str">
        <f t="shared" si="17"/>
        <v/>
      </c>
      <c r="V129" s="32" t="str">
        <f t="shared" si="18"/>
        <v/>
      </c>
      <c r="W129" s="30" t="str">
        <f t="shared" si="19"/>
        <v/>
      </c>
      <c r="X129" s="33" t="str">
        <f t="shared" si="20"/>
        <v/>
      </c>
      <c r="Y129" s="34" t="str">
        <f t="shared" si="21"/>
        <v/>
      </c>
    </row>
    <row r="130" spans="1:25" x14ac:dyDescent="0.2">
      <c r="A130" s="35"/>
      <c r="B130" s="21"/>
      <c r="C130" s="18"/>
      <c r="D130" s="21"/>
      <c r="E130" s="21"/>
      <c r="F130" s="21"/>
      <c r="G130" s="36"/>
      <c r="H130" s="36"/>
      <c r="I130" s="36"/>
      <c r="J130" s="37"/>
      <c r="K130" s="18"/>
      <c r="L130" s="28" t="str">
        <f t="shared" si="11"/>
        <v/>
      </c>
      <c r="M130" s="29" t="str">
        <f t="shared" si="12"/>
        <v/>
      </c>
      <c r="N130" s="29" t="str">
        <f t="shared" si="13"/>
        <v/>
      </c>
      <c r="O130" s="30" t="str">
        <f t="shared" si="14"/>
        <v/>
      </c>
      <c r="P130" s="28" t="str">
        <f>IF($C130="","",IFERROR(INDEX(CA_TG,MATCH(B130,DS_CA,0))-INDEX(CA_NGHI,MATCH(B130,DS_CA,0))-SUMIFS('3 Nhật ký dừng máy'!$I$6:$I$1005,'3 Nhật ký dừng máy'!$A$6:$A$1005,$A130,'3 Nhật ký dừng máy'!$B$6:$B$1005,$B130,'3 Nhật ký dừng máy'!$C$6:$C$1005,$C130,'3 Nhật ký dừng máy'!$K$6:$K$1005,"Có kế hoạch"),"?"))</f>
        <v/>
      </c>
      <c r="Q130" s="28" t="str">
        <f>IF($C130="","",SUMIFS('3 Nhật ký dừng máy'!$I$6:$I$1005,'3 Nhật ký dừng máy'!$A$6:$A$1005,$A130,'3 Nhật ký dừng máy'!$B$6:$B$1005,$B130,'3 Nhật ký dừng máy'!$C$6:$C$1005,$C130,'3 Nhật ký dừng máy'!$K$6:$K$1005,"Ngoài kế hoạch"))</f>
        <v/>
      </c>
      <c r="R130" s="30" t="str">
        <f>IF($C130="","",COUNTIFS('3 Nhật ký dừng máy'!$A$6:$A$1005,$A130,'3 Nhật ký dừng máy'!$B$6:$B$1005,$B130,'3 Nhật ký dừng máy'!$C$6:$C$1005,$C130,'3 Nhật ký dừng máy'!$K$6:$K$1005,"Ngoài kế hoạch"))</f>
        <v/>
      </c>
      <c r="S130" s="31" t="str">
        <f t="shared" si="15"/>
        <v/>
      </c>
      <c r="T130" s="31" t="str">
        <f t="shared" si="16"/>
        <v/>
      </c>
      <c r="U130" s="31" t="str">
        <f t="shared" si="17"/>
        <v/>
      </c>
      <c r="V130" s="32" t="str">
        <f t="shared" si="18"/>
        <v/>
      </c>
      <c r="W130" s="30" t="str">
        <f t="shared" si="19"/>
        <v/>
      </c>
      <c r="X130" s="33" t="str">
        <f t="shared" si="20"/>
        <v/>
      </c>
      <c r="Y130" s="34" t="str">
        <f t="shared" si="21"/>
        <v/>
      </c>
    </row>
    <row r="131" spans="1:25" x14ac:dyDescent="0.2">
      <c r="A131" s="35"/>
      <c r="B131" s="21"/>
      <c r="C131" s="18"/>
      <c r="D131" s="21"/>
      <c r="E131" s="21"/>
      <c r="F131" s="21"/>
      <c r="G131" s="36"/>
      <c r="H131" s="36"/>
      <c r="I131" s="36"/>
      <c r="J131" s="37"/>
      <c r="K131" s="18"/>
      <c r="L131" s="28" t="str">
        <f t="shared" si="11"/>
        <v/>
      </c>
      <c r="M131" s="29" t="str">
        <f t="shared" si="12"/>
        <v/>
      </c>
      <c r="N131" s="29" t="str">
        <f t="shared" si="13"/>
        <v/>
      </c>
      <c r="O131" s="30" t="str">
        <f t="shared" si="14"/>
        <v/>
      </c>
      <c r="P131" s="28" t="str">
        <f>IF($C131="","",IFERROR(INDEX(CA_TG,MATCH(B131,DS_CA,0))-INDEX(CA_NGHI,MATCH(B131,DS_CA,0))-SUMIFS('3 Nhật ký dừng máy'!$I$6:$I$1005,'3 Nhật ký dừng máy'!$A$6:$A$1005,$A131,'3 Nhật ký dừng máy'!$B$6:$B$1005,$B131,'3 Nhật ký dừng máy'!$C$6:$C$1005,$C131,'3 Nhật ký dừng máy'!$K$6:$K$1005,"Có kế hoạch"),"?"))</f>
        <v/>
      </c>
      <c r="Q131" s="28" t="str">
        <f>IF($C131="","",SUMIFS('3 Nhật ký dừng máy'!$I$6:$I$1005,'3 Nhật ký dừng máy'!$A$6:$A$1005,$A131,'3 Nhật ký dừng máy'!$B$6:$B$1005,$B131,'3 Nhật ký dừng máy'!$C$6:$C$1005,$C131,'3 Nhật ký dừng máy'!$K$6:$K$1005,"Ngoài kế hoạch"))</f>
        <v/>
      </c>
      <c r="R131" s="30" t="str">
        <f>IF($C131="","",COUNTIFS('3 Nhật ký dừng máy'!$A$6:$A$1005,$A131,'3 Nhật ký dừng máy'!$B$6:$B$1005,$B131,'3 Nhật ký dừng máy'!$C$6:$C$1005,$C131,'3 Nhật ký dừng máy'!$K$6:$K$1005,"Ngoài kế hoạch"))</f>
        <v/>
      </c>
      <c r="S131" s="31" t="str">
        <f t="shared" si="15"/>
        <v/>
      </c>
      <c r="T131" s="31" t="str">
        <f t="shared" si="16"/>
        <v/>
      </c>
      <c r="U131" s="31" t="str">
        <f t="shared" si="17"/>
        <v/>
      </c>
      <c r="V131" s="32" t="str">
        <f t="shared" si="18"/>
        <v/>
      </c>
      <c r="W131" s="30" t="str">
        <f t="shared" si="19"/>
        <v/>
      </c>
      <c r="X131" s="33" t="str">
        <f t="shared" si="20"/>
        <v/>
      </c>
      <c r="Y131" s="34" t="str">
        <f t="shared" si="21"/>
        <v/>
      </c>
    </row>
    <row r="132" spans="1:25" x14ac:dyDescent="0.2">
      <c r="A132" s="35"/>
      <c r="B132" s="21"/>
      <c r="C132" s="18"/>
      <c r="D132" s="21"/>
      <c r="E132" s="21"/>
      <c r="F132" s="21"/>
      <c r="G132" s="36"/>
      <c r="H132" s="36"/>
      <c r="I132" s="36"/>
      <c r="J132" s="37"/>
      <c r="K132" s="18"/>
      <c r="L132" s="28" t="str">
        <f t="shared" si="11"/>
        <v/>
      </c>
      <c r="M132" s="29" t="str">
        <f t="shared" si="12"/>
        <v/>
      </c>
      <c r="N132" s="29" t="str">
        <f t="shared" si="13"/>
        <v/>
      </c>
      <c r="O132" s="30" t="str">
        <f t="shared" si="14"/>
        <v/>
      </c>
      <c r="P132" s="28" t="str">
        <f>IF($C132="","",IFERROR(INDEX(CA_TG,MATCH(B132,DS_CA,0))-INDEX(CA_NGHI,MATCH(B132,DS_CA,0))-SUMIFS('3 Nhật ký dừng máy'!$I$6:$I$1005,'3 Nhật ký dừng máy'!$A$6:$A$1005,$A132,'3 Nhật ký dừng máy'!$B$6:$B$1005,$B132,'3 Nhật ký dừng máy'!$C$6:$C$1005,$C132,'3 Nhật ký dừng máy'!$K$6:$K$1005,"Có kế hoạch"),"?"))</f>
        <v/>
      </c>
      <c r="Q132" s="28" t="str">
        <f>IF($C132="","",SUMIFS('3 Nhật ký dừng máy'!$I$6:$I$1005,'3 Nhật ký dừng máy'!$A$6:$A$1005,$A132,'3 Nhật ký dừng máy'!$B$6:$B$1005,$B132,'3 Nhật ký dừng máy'!$C$6:$C$1005,$C132,'3 Nhật ký dừng máy'!$K$6:$K$1005,"Ngoài kế hoạch"))</f>
        <v/>
      </c>
      <c r="R132" s="30" t="str">
        <f>IF($C132="","",COUNTIFS('3 Nhật ký dừng máy'!$A$6:$A$1005,$A132,'3 Nhật ký dừng máy'!$B$6:$B$1005,$B132,'3 Nhật ký dừng máy'!$C$6:$C$1005,$C132,'3 Nhật ký dừng máy'!$K$6:$K$1005,"Ngoài kế hoạch"))</f>
        <v/>
      </c>
      <c r="S132" s="31" t="str">
        <f t="shared" si="15"/>
        <v/>
      </c>
      <c r="T132" s="31" t="str">
        <f t="shared" si="16"/>
        <v/>
      </c>
      <c r="U132" s="31" t="str">
        <f t="shared" si="17"/>
        <v/>
      </c>
      <c r="V132" s="32" t="str">
        <f t="shared" si="18"/>
        <v/>
      </c>
      <c r="W132" s="30" t="str">
        <f t="shared" si="19"/>
        <v/>
      </c>
      <c r="X132" s="33" t="str">
        <f t="shared" si="20"/>
        <v/>
      </c>
      <c r="Y132" s="34" t="str">
        <f t="shared" si="21"/>
        <v/>
      </c>
    </row>
    <row r="133" spans="1:25" x14ac:dyDescent="0.2">
      <c r="A133" s="35"/>
      <c r="B133" s="21"/>
      <c r="C133" s="18"/>
      <c r="D133" s="21"/>
      <c r="E133" s="21"/>
      <c r="F133" s="21"/>
      <c r="G133" s="36"/>
      <c r="H133" s="36"/>
      <c r="I133" s="36"/>
      <c r="J133" s="37"/>
      <c r="K133" s="18"/>
      <c r="L133" s="28" t="str">
        <f t="shared" si="11"/>
        <v/>
      </c>
      <c r="M133" s="29" t="str">
        <f t="shared" si="12"/>
        <v/>
      </c>
      <c r="N133" s="29" t="str">
        <f t="shared" si="13"/>
        <v/>
      </c>
      <c r="O133" s="30" t="str">
        <f t="shared" si="14"/>
        <v/>
      </c>
      <c r="P133" s="28" t="str">
        <f>IF($C133="","",IFERROR(INDEX(CA_TG,MATCH(B133,DS_CA,0))-INDEX(CA_NGHI,MATCH(B133,DS_CA,0))-SUMIFS('3 Nhật ký dừng máy'!$I$6:$I$1005,'3 Nhật ký dừng máy'!$A$6:$A$1005,$A133,'3 Nhật ký dừng máy'!$B$6:$B$1005,$B133,'3 Nhật ký dừng máy'!$C$6:$C$1005,$C133,'3 Nhật ký dừng máy'!$K$6:$K$1005,"Có kế hoạch"),"?"))</f>
        <v/>
      </c>
      <c r="Q133" s="28" t="str">
        <f>IF($C133="","",SUMIFS('3 Nhật ký dừng máy'!$I$6:$I$1005,'3 Nhật ký dừng máy'!$A$6:$A$1005,$A133,'3 Nhật ký dừng máy'!$B$6:$B$1005,$B133,'3 Nhật ký dừng máy'!$C$6:$C$1005,$C133,'3 Nhật ký dừng máy'!$K$6:$K$1005,"Ngoài kế hoạch"))</f>
        <v/>
      </c>
      <c r="R133" s="30" t="str">
        <f>IF($C133="","",COUNTIFS('3 Nhật ký dừng máy'!$A$6:$A$1005,$A133,'3 Nhật ký dừng máy'!$B$6:$B$1005,$B133,'3 Nhật ký dừng máy'!$C$6:$C$1005,$C133,'3 Nhật ký dừng máy'!$K$6:$K$1005,"Ngoài kế hoạch"))</f>
        <v/>
      </c>
      <c r="S133" s="31" t="str">
        <f t="shared" si="15"/>
        <v/>
      </c>
      <c r="T133" s="31" t="str">
        <f t="shared" si="16"/>
        <v/>
      </c>
      <c r="U133" s="31" t="str">
        <f t="shared" si="17"/>
        <v/>
      </c>
      <c r="V133" s="32" t="str">
        <f t="shared" si="18"/>
        <v/>
      </c>
      <c r="W133" s="30" t="str">
        <f t="shared" si="19"/>
        <v/>
      </c>
      <c r="X133" s="33" t="str">
        <f t="shared" si="20"/>
        <v/>
      </c>
      <c r="Y133" s="34" t="str">
        <f t="shared" si="21"/>
        <v/>
      </c>
    </row>
    <row r="134" spans="1:25" x14ac:dyDescent="0.2">
      <c r="A134" s="35"/>
      <c r="B134" s="21"/>
      <c r="C134" s="18"/>
      <c r="D134" s="21"/>
      <c r="E134" s="21"/>
      <c r="F134" s="21"/>
      <c r="G134" s="36"/>
      <c r="H134" s="36"/>
      <c r="I134" s="36"/>
      <c r="J134" s="37"/>
      <c r="K134" s="18"/>
      <c r="L134" s="28" t="str">
        <f t="shared" ref="L134:L197" si="22">IF($C134="","",H134-I134)</f>
        <v/>
      </c>
      <c r="M134" s="29" t="str">
        <f t="shared" ref="M134:M197" si="23">IF(OR($C134="",N(G134)&lt;=0),"",L134/G134)</f>
        <v/>
      </c>
      <c r="N134" s="29" t="str">
        <f t="shared" ref="N134:N197" si="24">IF(OR($C134="",N(H134)&lt;=0),"",I134/H134)</f>
        <v/>
      </c>
      <c r="O134" s="30" t="str">
        <f t="shared" ref="O134:O197" si="25">IF($C134="","",IFERROR(INDEX(MH_CT,MATCH(E134,DS_MH,0)),"?"))</f>
        <v/>
      </c>
      <c r="P134" s="28" t="str">
        <f>IF($C134="","",IFERROR(INDEX(CA_TG,MATCH(B134,DS_CA,0))-INDEX(CA_NGHI,MATCH(B134,DS_CA,0))-SUMIFS('3 Nhật ký dừng máy'!$I$6:$I$1005,'3 Nhật ký dừng máy'!$A$6:$A$1005,$A134,'3 Nhật ký dừng máy'!$B$6:$B$1005,$B134,'3 Nhật ký dừng máy'!$C$6:$C$1005,$C134,'3 Nhật ký dừng máy'!$K$6:$K$1005,"Có kế hoạch"),"?"))</f>
        <v/>
      </c>
      <c r="Q134" s="28" t="str">
        <f>IF($C134="","",SUMIFS('3 Nhật ký dừng máy'!$I$6:$I$1005,'3 Nhật ký dừng máy'!$A$6:$A$1005,$A134,'3 Nhật ký dừng máy'!$B$6:$B$1005,$B134,'3 Nhật ký dừng máy'!$C$6:$C$1005,$C134,'3 Nhật ký dừng máy'!$K$6:$K$1005,"Ngoài kế hoạch"))</f>
        <v/>
      </c>
      <c r="R134" s="30" t="str">
        <f>IF($C134="","",COUNTIFS('3 Nhật ký dừng máy'!$A$6:$A$1005,$A134,'3 Nhật ký dừng máy'!$B$6:$B$1005,$B134,'3 Nhật ký dừng máy'!$C$6:$C$1005,$C134,'3 Nhật ký dừng máy'!$K$6:$K$1005,"Ngoài kế hoạch"))</f>
        <v/>
      </c>
      <c r="S134" s="31" t="str">
        <f t="shared" ref="S134:S197" si="26">IF($C134="","",IFERROR(H134*O134/60,"?"))</f>
        <v/>
      </c>
      <c r="T134" s="31" t="str">
        <f t="shared" ref="T134:T197" si="27">IF($C134="","",IFERROR(P134-Q134-S134,"?"))</f>
        <v/>
      </c>
      <c r="U134" s="31" t="str">
        <f t="shared" ref="U134:U197" si="28">IF($C134="","",IFERROR(L134*O134/60,"?"))</f>
        <v/>
      </c>
      <c r="V134" s="32" t="str">
        <f t="shared" ref="V134:V197" si="29">IF($C134="","",IFERROR(U134/P134,"?"))</f>
        <v/>
      </c>
      <c r="W134" s="30" t="str">
        <f t="shared" ref="W134:W197" si="30">IF(OR($C134="",J134=""),"",INT(J134)-A134)</f>
        <v/>
      </c>
      <c r="X134" s="33" t="str">
        <f t="shared" ref="X134:X197" si="31">IF($C134="","",IFERROR(LEFT(IF(N(T134)&lt;0,"Nhanh hơn chu kỳ chuẩn — chuẩn đặt rộng?; ","")&amp;IF(D134="","Thiếu người đứng máy; ","")&amp;IF(R134=0,"Không ghi lần dừng nào; ","")&amp;IF(COUNTIF($Y$6:$Y$505,Y134)&gt;1,"Trùng dòng máy × ca; ",""),LEN(IF(N(T134)&lt;0,"Nhanh hơn chu kỳ chuẩn — chuẩn đặt rộng?; ","")&amp;IF(D134="","Thiếu người đứng máy; ","")&amp;IF(R134=0,"Không ghi lần dừng nào; ","")&amp;IF(COUNTIF($Y$6:$Y$505,Y134)&gt;1,"Trùng dòng máy × ca; ",""))-2),""))</f>
        <v/>
      </c>
      <c r="Y134" s="34" t="str">
        <f t="shared" ref="Y134:Y197" si="32">IF($C134="","",A134&amp;"|"&amp;B134&amp;"|"&amp;C134)</f>
        <v/>
      </c>
    </row>
    <row r="135" spans="1:25" x14ac:dyDescent="0.2">
      <c r="A135" s="35"/>
      <c r="B135" s="21"/>
      <c r="C135" s="18"/>
      <c r="D135" s="21"/>
      <c r="E135" s="21"/>
      <c r="F135" s="21"/>
      <c r="G135" s="36"/>
      <c r="H135" s="36"/>
      <c r="I135" s="36"/>
      <c r="J135" s="37"/>
      <c r="K135" s="18"/>
      <c r="L135" s="28" t="str">
        <f t="shared" si="22"/>
        <v/>
      </c>
      <c r="M135" s="29" t="str">
        <f t="shared" si="23"/>
        <v/>
      </c>
      <c r="N135" s="29" t="str">
        <f t="shared" si="24"/>
        <v/>
      </c>
      <c r="O135" s="30" t="str">
        <f t="shared" si="25"/>
        <v/>
      </c>
      <c r="P135" s="28" t="str">
        <f>IF($C135="","",IFERROR(INDEX(CA_TG,MATCH(B135,DS_CA,0))-INDEX(CA_NGHI,MATCH(B135,DS_CA,0))-SUMIFS('3 Nhật ký dừng máy'!$I$6:$I$1005,'3 Nhật ký dừng máy'!$A$6:$A$1005,$A135,'3 Nhật ký dừng máy'!$B$6:$B$1005,$B135,'3 Nhật ký dừng máy'!$C$6:$C$1005,$C135,'3 Nhật ký dừng máy'!$K$6:$K$1005,"Có kế hoạch"),"?"))</f>
        <v/>
      </c>
      <c r="Q135" s="28" t="str">
        <f>IF($C135="","",SUMIFS('3 Nhật ký dừng máy'!$I$6:$I$1005,'3 Nhật ký dừng máy'!$A$6:$A$1005,$A135,'3 Nhật ký dừng máy'!$B$6:$B$1005,$B135,'3 Nhật ký dừng máy'!$C$6:$C$1005,$C135,'3 Nhật ký dừng máy'!$K$6:$K$1005,"Ngoài kế hoạch"))</f>
        <v/>
      </c>
      <c r="R135" s="30" t="str">
        <f>IF($C135="","",COUNTIFS('3 Nhật ký dừng máy'!$A$6:$A$1005,$A135,'3 Nhật ký dừng máy'!$B$6:$B$1005,$B135,'3 Nhật ký dừng máy'!$C$6:$C$1005,$C135,'3 Nhật ký dừng máy'!$K$6:$K$1005,"Ngoài kế hoạch"))</f>
        <v/>
      </c>
      <c r="S135" s="31" t="str">
        <f t="shared" si="26"/>
        <v/>
      </c>
      <c r="T135" s="31" t="str">
        <f t="shared" si="27"/>
        <v/>
      </c>
      <c r="U135" s="31" t="str">
        <f t="shared" si="28"/>
        <v/>
      </c>
      <c r="V135" s="32" t="str">
        <f t="shared" si="29"/>
        <v/>
      </c>
      <c r="W135" s="30" t="str">
        <f t="shared" si="30"/>
        <v/>
      </c>
      <c r="X135" s="33" t="str">
        <f t="shared" si="31"/>
        <v/>
      </c>
      <c r="Y135" s="34" t="str">
        <f t="shared" si="32"/>
        <v/>
      </c>
    </row>
    <row r="136" spans="1:25" x14ac:dyDescent="0.2">
      <c r="A136" s="35"/>
      <c r="B136" s="21"/>
      <c r="C136" s="18"/>
      <c r="D136" s="21"/>
      <c r="E136" s="21"/>
      <c r="F136" s="21"/>
      <c r="G136" s="36"/>
      <c r="H136" s="36"/>
      <c r="I136" s="36"/>
      <c r="J136" s="37"/>
      <c r="K136" s="18"/>
      <c r="L136" s="28" t="str">
        <f t="shared" si="22"/>
        <v/>
      </c>
      <c r="M136" s="29" t="str">
        <f t="shared" si="23"/>
        <v/>
      </c>
      <c r="N136" s="29" t="str">
        <f t="shared" si="24"/>
        <v/>
      </c>
      <c r="O136" s="30" t="str">
        <f t="shared" si="25"/>
        <v/>
      </c>
      <c r="P136" s="28" t="str">
        <f>IF($C136="","",IFERROR(INDEX(CA_TG,MATCH(B136,DS_CA,0))-INDEX(CA_NGHI,MATCH(B136,DS_CA,0))-SUMIFS('3 Nhật ký dừng máy'!$I$6:$I$1005,'3 Nhật ký dừng máy'!$A$6:$A$1005,$A136,'3 Nhật ký dừng máy'!$B$6:$B$1005,$B136,'3 Nhật ký dừng máy'!$C$6:$C$1005,$C136,'3 Nhật ký dừng máy'!$K$6:$K$1005,"Có kế hoạch"),"?"))</f>
        <v/>
      </c>
      <c r="Q136" s="28" t="str">
        <f>IF($C136="","",SUMIFS('3 Nhật ký dừng máy'!$I$6:$I$1005,'3 Nhật ký dừng máy'!$A$6:$A$1005,$A136,'3 Nhật ký dừng máy'!$B$6:$B$1005,$B136,'3 Nhật ký dừng máy'!$C$6:$C$1005,$C136,'3 Nhật ký dừng máy'!$K$6:$K$1005,"Ngoài kế hoạch"))</f>
        <v/>
      </c>
      <c r="R136" s="30" t="str">
        <f>IF($C136="","",COUNTIFS('3 Nhật ký dừng máy'!$A$6:$A$1005,$A136,'3 Nhật ký dừng máy'!$B$6:$B$1005,$B136,'3 Nhật ký dừng máy'!$C$6:$C$1005,$C136,'3 Nhật ký dừng máy'!$K$6:$K$1005,"Ngoài kế hoạch"))</f>
        <v/>
      </c>
      <c r="S136" s="31" t="str">
        <f t="shared" si="26"/>
        <v/>
      </c>
      <c r="T136" s="31" t="str">
        <f t="shared" si="27"/>
        <v/>
      </c>
      <c r="U136" s="31" t="str">
        <f t="shared" si="28"/>
        <v/>
      </c>
      <c r="V136" s="32" t="str">
        <f t="shared" si="29"/>
        <v/>
      </c>
      <c r="W136" s="30" t="str">
        <f t="shared" si="30"/>
        <v/>
      </c>
      <c r="X136" s="33" t="str">
        <f t="shared" si="31"/>
        <v/>
      </c>
      <c r="Y136" s="34" t="str">
        <f t="shared" si="32"/>
        <v/>
      </c>
    </row>
    <row r="137" spans="1:25" x14ac:dyDescent="0.2">
      <c r="A137" s="35"/>
      <c r="B137" s="21"/>
      <c r="C137" s="18"/>
      <c r="D137" s="21"/>
      <c r="E137" s="21"/>
      <c r="F137" s="21"/>
      <c r="G137" s="36"/>
      <c r="H137" s="36"/>
      <c r="I137" s="36"/>
      <c r="J137" s="37"/>
      <c r="K137" s="18"/>
      <c r="L137" s="28" t="str">
        <f t="shared" si="22"/>
        <v/>
      </c>
      <c r="M137" s="29" t="str">
        <f t="shared" si="23"/>
        <v/>
      </c>
      <c r="N137" s="29" t="str">
        <f t="shared" si="24"/>
        <v/>
      </c>
      <c r="O137" s="30" t="str">
        <f t="shared" si="25"/>
        <v/>
      </c>
      <c r="P137" s="28" t="str">
        <f>IF($C137="","",IFERROR(INDEX(CA_TG,MATCH(B137,DS_CA,0))-INDEX(CA_NGHI,MATCH(B137,DS_CA,0))-SUMIFS('3 Nhật ký dừng máy'!$I$6:$I$1005,'3 Nhật ký dừng máy'!$A$6:$A$1005,$A137,'3 Nhật ký dừng máy'!$B$6:$B$1005,$B137,'3 Nhật ký dừng máy'!$C$6:$C$1005,$C137,'3 Nhật ký dừng máy'!$K$6:$K$1005,"Có kế hoạch"),"?"))</f>
        <v/>
      </c>
      <c r="Q137" s="28" t="str">
        <f>IF($C137="","",SUMIFS('3 Nhật ký dừng máy'!$I$6:$I$1005,'3 Nhật ký dừng máy'!$A$6:$A$1005,$A137,'3 Nhật ký dừng máy'!$B$6:$B$1005,$B137,'3 Nhật ký dừng máy'!$C$6:$C$1005,$C137,'3 Nhật ký dừng máy'!$K$6:$K$1005,"Ngoài kế hoạch"))</f>
        <v/>
      </c>
      <c r="R137" s="30" t="str">
        <f>IF($C137="","",COUNTIFS('3 Nhật ký dừng máy'!$A$6:$A$1005,$A137,'3 Nhật ký dừng máy'!$B$6:$B$1005,$B137,'3 Nhật ký dừng máy'!$C$6:$C$1005,$C137,'3 Nhật ký dừng máy'!$K$6:$K$1005,"Ngoài kế hoạch"))</f>
        <v/>
      </c>
      <c r="S137" s="31" t="str">
        <f t="shared" si="26"/>
        <v/>
      </c>
      <c r="T137" s="31" t="str">
        <f t="shared" si="27"/>
        <v/>
      </c>
      <c r="U137" s="31" t="str">
        <f t="shared" si="28"/>
        <v/>
      </c>
      <c r="V137" s="32" t="str">
        <f t="shared" si="29"/>
        <v/>
      </c>
      <c r="W137" s="30" t="str">
        <f t="shared" si="30"/>
        <v/>
      </c>
      <c r="X137" s="33" t="str">
        <f t="shared" si="31"/>
        <v/>
      </c>
      <c r="Y137" s="34" t="str">
        <f t="shared" si="32"/>
        <v/>
      </c>
    </row>
    <row r="138" spans="1:25" x14ac:dyDescent="0.2">
      <c r="A138" s="35"/>
      <c r="B138" s="21"/>
      <c r="C138" s="18"/>
      <c r="D138" s="21"/>
      <c r="E138" s="21"/>
      <c r="F138" s="21"/>
      <c r="G138" s="36"/>
      <c r="H138" s="36"/>
      <c r="I138" s="36"/>
      <c r="J138" s="37"/>
      <c r="K138" s="18"/>
      <c r="L138" s="28" t="str">
        <f t="shared" si="22"/>
        <v/>
      </c>
      <c r="M138" s="29" t="str">
        <f t="shared" si="23"/>
        <v/>
      </c>
      <c r="N138" s="29" t="str">
        <f t="shared" si="24"/>
        <v/>
      </c>
      <c r="O138" s="30" t="str">
        <f t="shared" si="25"/>
        <v/>
      </c>
      <c r="P138" s="28" t="str">
        <f>IF($C138="","",IFERROR(INDEX(CA_TG,MATCH(B138,DS_CA,0))-INDEX(CA_NGHI,MATCH(B138,DS_CA,0))-SUMIFS('3 Nhật ký dừng máy'!$I$6:$I$1005,'3 Nhật ký dừng máy'!$A$6:$A$1005,$A138,'3 Nhật ký dừng máy'!$B$6:$B$1005,$B138,'3 Nhật ký dừng máy'!$C$6:$C$1005,$C138,'3 Nhật ký dừng máy'!$K$6:$K$1005,"Có kế hoạch"),"?"))</f>
        <v/>
      </c>
      <c r="Q138" s="28" t="str">
        <f>IF($C138="","",SUMIFS('3 Nhật ký dừng máy'!$I$6:$I$1005,'3 Nhật ký dừng máy'!$A$6:$A$1005,$A138,'3 Nhật ký dừng máy'!$B$6:$B$1005,$B138,'3 Nhật ký dừng máy'!$C$6:$C$1005,$C138,'3 Nhật ký dừng máy'!$K$6:$K$1005,"Ngoài kế hoạch"))</f>
        <v/>
      </c>
      <c r="R138" s="30" t="str">
        <f>IF($C138="","",COUNTIFS('3 Nhật ký dừng máy'!$A$6:$A$1005,$A138,'3 Nhật ký dừng máy'!$B$6:$B$1005,$B138,'3 Nhật ký dừng máy'!$C$6:$C$1005,$C138,'3 Nhật ký dừng máy'!$K$6:$K$1005,"Ngoài kế hoạch"))</f>
        <v/>
      </c>
      <c r="S138" s="31" t="str">
        <f t="shared" si="26"/>
        <v/>
      </c>
      <c r="T138" s="31" t="str">
        <f t="shared" si="27"/>
        <v/>
      </c>
      <c r="U138" s="31" t="str">
        <f t="shared" si="28"/>
        <v/>
      </c>
      <c r="V138" s="32" t="str">
        <f t="shared" si="29"/>
        <v/>
      </c>
      <c r="W138" s="30" t="str">
        <f t="shared" si="30"/>
        <v/>
      </c>
      <c r="X138" s="33" t="str">
        <f t="shared" si="31"/>
        <v/>
      </c>
      <c r="Y138" s="34" t="str">
        <f t="shared" si="32"/>
        <v/>
      </c>
    </row>
    <row r="139" spans="1:25" x14ac:dyDescent="0.2">
      <c r="A139" s="35"/>
      <c r="B139" s="21"/>
      <c r="C139" s="18"/>
      <c r="D139" s="21"/>
      <c r="E139" s="21"/>
      <c r="F139" s="21"/>
      <c r="G139" s="36"/>
      <c r="H139" s="36"/>
      <c r="I139" s="36"/>
      <c r="J139" s="37"/>
      <c r="K139" s="18"/>
      <c r="L139" s="28" t="str">
        <f t="shared" si="22"/>
        <v/>
      </c>
      <c r="M139" s="29" t="str">
        <f t="shared" si="23"/>
        <v/>
      </c>
      <c r="N139" s="29" t="str">
        <f t="shared" si="24"/>
        <v/>
      </c>
      <c r="O139" s="30" t="str">
        <f t="shared" si="25"/>
        <v/>
      </c>
      <c r="P139" s="28" t="str">
        <f>IF($C139="","",IFERROR(INDEX(CA_TG,MATCH(B139,DS_CA,0))-INDEX(CA_NGHI,MATCH(B139,DS_CA,0))-SUMIFS('3 Nhật ký dừng máy'!$I$6:$I$1005,'3 Nhật ký dừng máy'!$A$6:$A$1005,$A139,'3 Nhật ký dừng máy'!$B$6:$B$1005,$B139,'3 Nhật ký dừng máy'!$C$6:$C$1005,$C139,'3 Nhật ký dừng máy'!$K$6:$K$1005,"Có kế hoạch"),"?"))</f>
        <v/>
      </c>
      <c r="Q139" s="28" t="str">
        <f>IF($C139="","",SUMIFS('3 Nhật ký dừng máy'!$I$6:$I$1005,'3 Nhật ký dừng máy'!$A$6:$A$1005,$A139,'3 Nhật ký dừng máy'!$B$6:$B$1005,$B139,'3 Nhật ký dừng máy'!$C$6:$C$1005,$C139,'3 Nhật ký dừng máy'!$K$6:$K$1005,"Ngoài kế hoạch"))</f>
        <v/>
      </c>
      <c r="R139" s="30" t="str">
        <f>IF($C139="","",COUNTIFS('3 Nhật ký dừng máy'!$A$6:$A$1005,$A139,'3 Nhật ký dừng máy'!$B$6:$B$1005,$B139,'3 Nhật ký dừng máy'!$C$6:$C$1005,$C139,'3 Nhật ký dừng máy'!$K$6:$K$1005,"Ngoài kế hoạch"))</f>
        <v/>
      </c>
      <c r="S139" s="31" t="str">
        <f t="shared" si="26"/>
        <v/>
      </c>
      <c r="T139" s="31" t="str">
        <f t="shared" si="27"/>
        <v/>
      </c>
      <c r="U139" s="31" t="str">
        <f t="shared" si="28"/>
        <v/>
      </c>
      <c r="V139" s="32" t="str">
        <f t="shared" si="29"/>
        <v/>
      </c>
      <c r="W139" s="30" t="str">
        <f t="shared" si="30"/>
        <v/>
      </c>
      <c r="X139" s="33" t="str">
        <f t="shared" si="31"/>
        <v/>
      </c>
      <c r="Y139" s="34" t="str">
        <f t="shared" si="32"/>
        <v/>
      </c>
    </row>
    <row r="140" spans="1:25" x14ac:dyDescent="0.2">
      <c r="A140" s="35"/>
      <c r="B140" s="21"/>
      <c r="C140" s="18"/>
      <c r="D140" s="21"/>
      <c r="E140" s="21"/>
      <c r="F140" s="21"/>
      <c r="G140" s="36"/>
      <c r="H140" s="36"/>
      <c r="I140" s="36"/>
      <c r="J140" s="37"/>
      <c r="K140" s="18"/>
      <c r="L140" s="28" t="str">
        <f t="shared" si="22"/>
        <v/>
      </c>
      <c r="M140" s="29" t="str">
        <f t="shared" si="23"/>
        <v/>
      </c>
      <c r="N140" s="29" t="str">
        <f t="shared" si="24"/>
        <v/>
      </c>
      <c r="O140" s="30" t="str">
        <f t="shared" si="25"/>
        <v/>
      </c>
      <c r="P140" s="28" t="str">
        <f>IF($C140="","",IFERROR(INDEX(CA_TG,MATCH(B140,DS_CA,0))-INDEX(CA_NGHI,MATCH(B140,DS_CA,0))-SUMIFS('3 Nhật ký dừng máy'!$I$6:$I$1005,'3 Nhật ký dừng máy'!$A$6:$A$1005,$A140,'3 Nhật ký dừng máy'!$B$6:$B$1005,$B140,'3 Nhật ký dừng máy'!$C$6:$C$1005,$C140,'3 Nhật ký dừng máy'!$K$6:$K$1005,"Có kế hoạch"),"?"))</f>
        <v/>
      </c>
      <c r="Q140" s="28" t="str">
        <f>IF($C140="","",SUMIFS('3 Nhật ký dừng máy'!$I$6:$I$1005,'3 Nhật ký dừng máy'!$A$6:$A$1005,$A140,'3 Nhật ký dừng máy'!$B$6:$B$1005,$B140,'3 Nhật ký dừng máy'!$C$6:$C$1005,$C140,'3 Nhật ký dừng máy'!$K$6:$K$1005,"Ngoài kế hoạch"))</f>
        <v/>
      </c>
      <c r="R140" s="30" t="str">
        <f>IF($C140="","",COUNTIFS('3 Nhật ký dừng máy'!$A$6:$A$1005,$A140,'3 Nhật ký dừng máy'!$B$6:$B$1005,$B140,'3 Nhật ký dừng máy'!$C$6:$C$1005,$C140,'3 Nhật ký dừng máy'!$K$6:$K$1005,"Ngoài kế hoạch"))</f>
        <v/>
      </c>
      <c r="S140" s="31" t="str">
        <f t="shared" si="26"/>
        <v/>
      </c>
      <c r="T140" s="31" t="str">
        <f t="shared" si="27"/>
        <v/>
      </c>
      <c r="U140" s="31" t="str">
        <f t="shared" si="28"/>
        <v/>
      </c>
      <c r="V140" s="32" t="str">
        <f t="shared" si="29"/>
        <v/>
      </c>
      <c r="W140" s="30" t="str">
        <f t="shared" si="30"/>
        <v/>
      </c>
      <c r="X140" s="33" t="str">
        <f t="shared" si="31"/>
        <v/>
      </c>
      <c r="Y140" s="34" t="str">
        <f t="shared" si="32"/>
        <v/>
      </c>
    </row>
    <row r="141" spans="1:25" x14ac:dyDescent="0.2">
      <c r="A141" s="35"/>
      <c r="B141" s="21"/>
      <c r="C141" s="18"/>
      <c r="D141" s="21"/>
      <c r="E141" s="21"/>
      <c r="F141" s="21"/>
      <c r="G141" s="36"/>
      <c r="H141" s="36"/>
      <c r="I141" s="36"/>
      <c r="J141" s="37"/>
      <c r="K141" s="18"/>
      <c r="L141" s="28" t="str">
        <f t="shared" si="22"/>
        <v/>
      </c>
      <c r="M141" s="29" t="str">
        <f t="shared" si="23"/>
        <v/>
      </c>
      <c r="N141" s="29" t="str">
        <f t="shared" si="24"/>
        <v/>
      </c>
      <c r="O141" s="30" t="str">
        <f t="shared" si="25"/>
        <v/>
      </c>
      <c r="P141" s="28" t="str">
        <f>IF($C141="","",IFERROR(INDEX(CA_TG,MATCH(B141,DS_CA,0))-INDEX(CA_NGHI,MATCH(B141,DS_CA,0))-SUMIFS('3 Nhật ký dừng máy'!$I$6:$I$1005,'3 Nhật ký dừng máy'!$A$6:$A$1005,$A141,'3 Nhật ký dừng máy'!$B$6:$B$1005,$B141,'3 Nhật ký dừng máy'!$C$6:$C$1005,$C141,'3 Nhật ký dừng máy'!$K$6:$K$1005,"Có kế hoạch"),"?"))</f>
        <v/>
      </c>
      <c r="Q141" s="28" t="str">
        <f>IF($C141="","",SUMIFS('3 Nhật ký dừng máy'!$I$6:$I$1005,'3 Nhật ký dừng máy'!$A$6:$A$1005,$A141,'3 Nhật ký dừng máy'!$B$6:$B$1005,$B141,'3 Nhật ký dừng máy'!$C$6:$C$1005,$C141,'3 Nhật ký dừng máy'!$K$6:$K$1005,"Ngoài kế hoạch"))</f>
        <v/>
      </c>
      <c r="R141" s="30" t="str">
        <f>IF($C141="","",COUNTIFS('3 Nhật ký dừng máy'!$A$6:$A$1005,$A141,'3 Nhật ký dừng máy'!$B$6:$B$1005,$B141,'3 Nhật ký dừng máy'!$C$6:$C$1005,$C141,'3 Nhật ký dừng máy'!$K$6:$K$1005,"Ngoài kế hoạch"))</f>
        <v/>
      </c>
      <c r="S141" s="31" t="str">
        <f t="shared" si="26"/>
        <v/>
      </c>
      <c r="T141" s="31" t="str">
        <f t="shared" si="27"/>
        <v/>
      </c>
      <c r="U141" s="31" t="str">
        <f t="shared" si="28"/>
        <v/>
      </c>
      <c r="V141" s="32" t="str">
        <f t="shared" si="29"/>
        <v/>
      </c>
      <c r="W141" s="30" t="str">
        <f t="shared" si="30"/>
        <v/>
      </c>
      <c r="X141" s="33" t="str">
        <f t="shared" si="31"/>
        <v/>
      </c>
      <c r="Y141" s="34" t="str">
        <f t="shared" si="32"/>
        <v/>
      </c>
    </row>
    <row r="142" spans="1:25" x14ac:dyDescent="0.2">
      <c r="A142" s="35"/>
      <c r="B142" s="21"/>
      <c r="C142" s="18"/>
      <c r="D142" s="21"/>
      <c r="E142" s="21"/>
      <c r="F142" s="21"/>
      <c r="G142" s="36"/>
      <c r="H142" s="36"/>
      <c r="I142" s="36"/>
      <c r="J142" s="37"/>
      <c r="K142" s="18"/>
      <c r="L142" s="28" t="str">
        <f t="shared" si="22"/>
        <v/>
      </c>
      <c r="M142" s="29" t="str">
        <f t="shared" si="23"/>
        <v/>
      </c>
      <c r="N142" s="29" t="str">
        <f t="shared" si="24"/>
        <v/>
      </c>
      <c r="O142" s="30" t="str">
        <f t="shared" si="25"/>
        <v/>
      </c>
      <c r="P142" s="28" t="str">
        <f>IF($C142="","",IFERROR(INDEX(CA_TG,MATCH(B142,DS_CA,0))-INDEX(CA_NGHI,MATCH(B142,DS_CA,0))-SUMIFS('3 Nhật ký dừng máy'!$I$6:$I$1005,'3 Nhật ký dừng máy'!$A$6:$A$1005,$A142,'3 Nhật ký dừng máy'!$B$6:$B$1005,$B142,'3 Nhật ký dừng máy'!$C$6:$C$1005,$C142,'3 Nhật ký dừng máy'!$K$6:$K$1005,"Có kế hoạch"),"?"))</f>
        <v/>
      </c>
      <c r="Q142" s="28" t="str">
        <f>IF($C142="","",SUMIFS('3 Nhật ký dừng máy'!$I$6:$I$1005,'3 Nhật ký dừng máy'!$A$6:$A$1005,$A142,'3 Nhật ký dừng máy'!$B$6:$B$1005,$B142,'3 Nhật ký dừng máy'!$C$6:$C$1005,$C142,'3 Nhật ký dừng máy'!$K$6:$K$1005,"Ngoài kế hoạch"))</f>
        <v/>
      </c>
      <c r="R142" s="30" t="str">
        <f>IF($C142="","",COUNTIFS('3 Nhật ký dừng máy'!$A$6:$A$1005,$A142,'3 Nhật ký dừng máy'!$B$6:$B$1005,$B142,'3 Nhật ký dừng máy'!$C$6:$C$1005,$C142,'3 Nhật ký dừng máy'!$K$6:$K$1005,"Ngoài kế hoạch"))</f>
        <v/>
      </c>
      <c r="S142" s="31" t="str">
        <f t="shared" si="26"/>
        <v/>
      </c>
      <c r="T142" s="31" t="str">
        <f t="shared" si="27"/>
        <v/>
      </c>
      <c r="U142" s="31" t="str">
        <f t="shared" si="28"/>
        <v/>
      </c>
      <c r="V142" s="32" t="str">
        <f t="shared" si="29"/>
        <v/>
      </c>
      <c r="W142" s="30" t="str">
        <f t="shared" si="30"/>
        <v/>
      </c>
      <c r="X142" s="33" t="str">
        <f t="shared" si="31"/>
        <v/>
      </c>
      <c r="Y142" s="34" t="str">
        <f t="shared" si="32"/>
        <v/>
      </c>
    </row>
    <row r="143" spans="1:25" x14ac:dyDescent="0.2">
      <c r="A143" s="35"/>
      <c r="B143" s="21"/>
      <c r="C143" s="18"/>
      <c r="D143" s="21"/>
      <c r="E143" s="21"/>
      <c r="F143" s="21"/>
      <c r="G143" s="36"/>
      <c r="H143" s="36"/>
      <c r="I143" s="36"/>
      <c r="J143" s="37"/>
      <c r="K143" s="18"/>
      <c r="L143" s="28" t="str">
        <f t="shared" si="22"/>
        <v/>
      </c>
      <c r="M143" s="29" t="str">
        <f t="shared" si="23"/>
        <v/>
      </c>
      <c r="N143" s="29" t="str">
        <f t="shared" si="24"/>
        <v/>
      </c>
      <c r="O143" s="30" t="str">
        <f t="shared" si="25"/>
        <v/>
      </c>
      <c r="P143" s="28" t="str">
        <f>IF($C143="","",IFERROR(INDEX(CA_TG,MATCH(B143,DS_CA,0))-INDEX(CA_NGHI,MATCH(B143,DS_CA,0))-SUMIFS('3 Nhật ký dừng máy'!$I$6:$I$1005,'3 Nhật ký dừng máy'!$A$6:$A$1005,$A143,'3 Nhật ký dừng máy'!$B$6:$B$1005,$B143,'3 Nhật ký dừng máy'!$C$6:$C$1005,$C143,'3 Nhật ký dừng máy'!$K$6:$K$1005,"Có kế hoạch"),"?"))</f>
        <v/>
      </c>
      <c r="Q143" s="28" t="str">
        <f>IF($C143="","",SUMIFS('3 Nhật ký dừng máy'!$I$6:$I$1005,'3 Nhật ký dừng máy'!$A$6:$A$1005,$A143,'3 Nhật ký dừng máy'!$B$6:$B$1005,$B143,'3 Nhật ký dừng máy'!$C$6:$C$1005,$C143,'3 Nhật ký dừng máy'!$K$6:$K$1005,"Ngoài kế hoạch"))</f>
        <v/>
      </c>
      <c r="R143" s="30" t="str">
        <f>IF($C143="","",COUNTIFS('3 Nhật ký dừng máy'!$A$6:$A$1005,$A143,'3 Nhật ký dừng máy'!$B$6:$B$1005,$B143,'3 Nhật ký dừng máy'!$C$6:$C$1005,$C143,'3 Nhật ký dừng máy'!$K$6:$K$1005,"Ngoài kế hoạch"))</f>
        <v/>
      </c>
      <c r="S143" s="31" t="str">
        <f t="shared" si="26"/>
        <v/>
      </c>
      <c r="T143" s="31" t="str">
        <f t="shared" si="27"/>
        <v/>
      </c>
      <c r="U143" s="31" t="str">
        <f t="shared" si="28"/>
        <v/>
      </c>
      <c r="V143" s="32" t="str">
        <f t="shared" si="29"/>
        <v/>
      </c>
      <c r="W143" s="30" t="str">
        <f t="shared" si="30"/>
        <v/>
      </c>
      <c r="X143" s="33" t="str">
        <f t="shared" si="31"/>
        <v/>
      </c>
      <c r="Y143" s="34" t="str">
        <f t="shared" si="32"/>
        <v/>
      </c>
    </row>
    <row r="144" spans="1:25" x14ac:dyDescent="0.2">
      <c r="A144" s="35"/>
      <c r="B144" s="21"/>
      <c r="C144" s="18"/>
      <c r="D144" s="21"/>
      <c r="E144" s="21"/>
      <c r="F144" s="21"/>
      <c r="G144" s="36"/>
      <c r="H144" s="36"/>
      <c r="I144" s="36"/>
      <c r="J144" s="37"/>
      <c r="K144" s="18"/>
      <c r="L144" s="28" t="str">
        <f t="shared" si="22"/>
        <v/>
      </c>
      <c r="M144" s="29" t="str">
        <f t="shared" si="23"/>
        <v/>
      </c>
      <c r="N144" s="29" t="str">
        <f t="shared" si="24"/>
        <v/>
      </c>
      <c r="O144" s="30" t="str">
        <f t="shared" si="25"/>
        <v/>
      </c>
      <c r="P144" s="28" t="str">
        <f>IF($C144="","",IFERROR(INDEX(CA_TG,MATCH(B144,DS_CA,0))-INDEX(CA_NGHI,MATCH(B144,DS_CA,0))-SUMIFS('3 Nhật ký dừng máy'!$I$6:$I$1005,'3 Nhật ký dừng máy'!$A$6:$A$1005,$A144,'3 Nhật ký dừng máy'!$B$6:$B$1005,$B144,'3 Nhật ký dừng máy'!$C$6:$C$1005,$C144,'3 Nhật ký dừng máy'!$K$6:$K$1005,"Có kế hoạch"),"?"))</f>
        <v/>
      </c>
      <c r="Q144" s="28" t="str">
        <f>IF($C144="","",SUMIFS('3 Nhật ký dừng máy'!$I$6:$I$1005,'3 Nhật ký dừng máy'!$A$6:$A$1005,$A144,'3 Nhật ký dừng máy'!$B$6:$B$1005,$B144,'3 Nhật ký dừng máy'!$C$6:$C$1005,$C144,'3 Nhật ký dừng máy'!$K$6:$K$1005,"Ngoài kế hoạch"))</f>
        <v/>
      </c>
      <c r="R144" s="30" t="str">
        <f>IF($C144="","",COUNTIFS('3 Nhật ký dừng máy'!$A$6:$A$1005,$A144,'3 Nhật ký dừng máy'!$B$6:$B$1005,$B144,'3 Nhật ký dừng máy'!$C$6:$C$1005,$C144,'3 Nhật ký dừng máy'!$K$6:$K$1005,"Ngoài kế hoạch"))</f>
        <v/>
      </c>
      <c r="S144" s="31" t="str">
        <f t="shared" si="26"/>
        <v/>
      </c>
      <c r="T144" s="31" t="str">
        <f t="shared" si="27"/>
        <v/>
      </c>
      <c r="U144" s="31" t="str">
        <f t="shared" si="28"/>
        <v/>
      </c>
      <c r="V144" s="32" t="str">
        <f t="shared" si="29"/>
        <v/>
      </c>
      <c r="W144" s="30" t="str">
        <f t="shared" si="30"/>
        <v/>
      </c>
      <c r="X144" s="33" t="str">
        <f t="shared" si="31"/>
        <v/>
      </c>
      <c r="Y144" s="34" t="str">
        <f t="shared" si="32"/>
        <v/>
      </c>
    </row>
    <row r="145" spans="1:25" x14ac:dyDescent="0.2">
      <c r="A145" s="35"/>
      <c r="B145" s="21"/>
      <c r="C145" s="18"/>
      <c r="D145" s="21"/>
      <c r="E145" s="21"/>
      <c r="F145" s="21"/>
      <c r="G145" s="36"/>
      <c r="H145" s="36"/>
      <c r="I145" s="36"/>
      <c r="J145" s="37"/>
      <c r="K145" s="18"/>
      <c r="L145" s="28" t="str">
        <f t="shared" si="22"/>
        <v/>
      </c>
      <c r="M145" s="29" t="str">
        <f t="shared" si="23"/>
        <v/>
      </c>
      <c r="N145" s="29" t="str">
        <f t="shared" si="24"/>
        <v/>
      </c>
      <c r="O145" s="30" t="str">
        <f t="shared" si="25"/>
        <v/>
      </c>
      <c r="P145" s="28" t="str">
        <f>IF($C145="","",IFERROR(INDEX(CA_TG,MATCH(B145,DS_CA,0))-INDEX(CA_NGHI,MATCH(B145,DS_CA,0))-SUMIFS('3 Nhật ký dừng máy'!$I$6:$I$1005,'3 Nhật ký dừng máy'!$A$6:$A$1005,$A145,'3 Nhật ký dừng máy'!$B$6:$B$1005,$B145,'3 Nhật ký dừng máy'!$C$6:$C$1005,$C145,'3 Nhật ký dừng máy'!$K$6:$K$1005,"Có kế hoạch"),"?"))</f>
        <v/>
      </c>
      <c r="Q145" s="28" t="str">
        <f>IF($C145="","",SUMIFS('3 Nhật ký dừng máy'!$I$6:$I$1005,'3 Nhật ký dừng máy'!$A$6:$A$1005,$A145,'3 Nhật ký dừng máy'!$B$6:$B$1005,$B145,'3 Nhật ký dừng máy'!$C$6:$C$1005,$C145,'3 Nhật ký dừng máy'!$K$6:$K$1005,"Ngoài kế hoạch"))</f>
        <v/>
      </c>
      <c r="R145" s="30" t="str">
        <f>IF($C145="","",COUNTIFS('3 Nhật ký dừng máy'!$A$6:$A$1005,$A145,'3 Nhật ký dừng máy'!$B$6:$B$1005,$B145,'3 Nhật ký dừng máy'!$C$6:$C$1005,$C145,'3 Nhật ký dừng máy'!$K$6:$K$1005,"Ngoài kế hoạch"))</f>
        <v/>
      </c>
      <c r="S145" s="31" t="str">
        <f t="shared" si="26"/>
        <v/>
      </c>
      <c r="T145" s="31" t="str">
        <f t="shared" si="27"/>
        <v/>
      </c>
      <c r="U145" s="31" t="str">
        <f t="shared" si="28"/>
        <v/>
      </c>
      <c r="V145" s="32" t="str">
        <f t="shared" si="29"/>
        <v/>
      </c>
      <c r="W145" s="30" t="str">
        <f t="shared" si="30"/>
        <v/>
      </c>
      <c r="X145" s="33" t="str">
        <f t="shared" si="31"/>
        <v/>
      </c>
      <c r="Y145" s="34" t="str">
        <f t="shared" si="32"/>
        <v/>
      </c>
    </row>
    <row r="146" spans="1:25" x14ac:dyDescent="0.2">
      <c r="A146" s="35"/>
      <c r="B146" s="21"/>
      <c r="C146" s="18"/>
      <c r="D146" s="21"/>
      <c r="E146" s="21"/>
      <c r="F146" s="21"/>
      <c r="G146" s="36"/>
      <c r="H146" s="36"/>
      <c r="I146" s="36"/>
      <c r="J146" s="37"/>
      <c r="K146" s="18"/>
      <c r="L146" s="28" t="str">
        <f t="shared" si="22"/>
        <v/>
      </c>
      <c r="M146" s="29" t="str">
        <f t="shared" si="23"/>
        <v/>
      </c>
      <c r="N146" s="29" t="str">
        <f t="shared" si="24"/>
        <v/>
      </c>
      <c r="O146" s="30" t="str">
        <f t="shared" si="25"/>
        <v/>
      </c>
      <c r="P146" s="28" t="str">
        <f>IF($C146="","",IFERROR(INDEX(CA_TG,MATCH(B146,DS_CA,0))-INDEX(CA_NGHI,MATCH(B146,DS_CA,0))-SUMIFS('3 Nhật ký dừng máy'!$I$6:$I$1005,'3 Nhật ký dừng máy'!$A$6:$A$1005,$A146,'3 Nhật ký dừng máy'!$B$6:$B$1005,$B146,'3 Nhật ký dừng máy'!$C$6:$C$1005,$C146,'3 Nhật ký dừng máy'!$K$6:$K$1005,"Có kế hoạch"),"?"))</f>
        <v/>
      </c>
      <c r="Q146" s="28" t="str">
        <f>IF($C146="","",SUMIFS('3 Nhật ký dừng máy'!$I$6:$I$1005,'3 Nhật ký dừng máy'!$A$6:$A$1005,$A146,'3 Nhật ký dừng máy'!$B$6:$B$1005,$B146,'3 Nhật ký dừng máy'!$C$6:$C$1005,$C146,'3 Nhật ký dừng máy'!$K$6:$K$1005,"Ngoài kế hoạch"))</f>
        <v/>
      </c>
      <c r="R146" s="30" t="str">
        <f>IF($C146="","",COUNTIFS('3 Nhật ký dừng máy'!$A$6:$A$1005,$A146,'3 Nhật ký dừng máy'!$B$6:$B$1005,$B146,'3 Nhật ký dừng máy'!$C$6:$C$1005,$C146,'3 Nhật ký dừng máy'!$K$6:$K$1005,"Ngoài kế hoạch"))</f>
        <v/>
      </c>
      <c r="S146" s="31" t="str">
        <f t="shared" si="26"/>
        <v/>
      </c>
      <c r="T146" s="31" t="str">
        <f t="shared" si="27"/>
        <v/>
      </c>
      <c r="U146" s="31" t="str">
        <f t="shared" si="28"/>
        <v/>
      </c>
      <c r="V146" s="32" t="str">
        <f t="shared" si="29"/>
        <v/>
      </c>
      <c r="W146" s="30" t="str">
        <f t="shared" si="30"/>
        <v/>
      </c>
      <c r="X146" s="33" t="str">
        <f t="shared" si="31"/>
        <v/>
      </c>
      <c r="Y146" s="34" t="str">
        <f t="shared" si="32"/>
        <v/>
      </c>
    </row>
    <row r="147" spans="1:25" x14ac:dyDescent="0.2">
      <c r="A147" s="35"/>
      <c r="B147" s="21"/>
      <c r="C147" s="18"/>
      <c r="D147" s="21"/>
      <c r="E147" s="21"/>
      <c r="F147" s="21"/>
      <c r="G147" s="36"/>
      <c r="H147" s="36"/>
      <c r="I147" s="36"/>
      <c r="J147" s="37"/>
      <c r="K147" s="18"/>
      <c r="L147" s="28" t="str">
        <f t="shared" si="22"/>
        <v/>
      </c>
      <c r="M147" s="29" t="str">
        <f t="shared" si="23"/>
        <v/>
      </c>
      <c r="N147" s="29" t="str">
        <f t="shared" si="24"/>
        <v/>
      </c>
      <c r="O147" s="30" t="str">
        <f t="shared" si="25"/>
        <v/>
      </c>
      <c r="P147" s="28" t="str">
        <f>IF($C147="","",IFERROR(INDEX(CA_TG,MATCH(B147,DS_CA,0))-INDEX(CA_NGHI,MATCH(B147,DS_CA,0))-SUMIFS('3 Nhật ký dừng máy'!$I$6:$I$1005,'3 Nhật ký dừng máy'!$A$6:$A$1005,$A147,'3 Nhật ký dừng máy'!$B$6:$B$1005,$B147,'3 Nhật ký dừng máy'!$C$6:$C$1005,$C147,'3 Nhật ký dừng máy'!$K$6:$K$1005,"Có kế hoạch"),"?"))</f>
        <v/>
      </c>
      <c r="Q147" s="28" t="str">
        <f>IF($C147="","",SUMIFS('3 Nhật ký dừng máy'!$I$6:$I$1005,'3 Nhật ký dừng máy'!$A$6:$A$1005,$A147,'3 Nhật ký dừng máy'!$B$6:$B$1005,$B147,'3 Nhật ký dừng máy'!$C$6:$C$1005,$C147,'3 Nhật ký dừng máy'!$K$6:$K$1005,"Ngoài kế hoạch"))</f>
        <v/>
      </c>
      <c r="R147" s="30" t="str">
        <f>IF($C147="","",COUNTIFS('3 Nhật ký dừng máy'!$A$6:$A$1005,$A147,'3 Nhật ký dừng máy'!$B$6:$B$1005,$B147,'3 Nhật ký dừng máy'!$C$6:$C$1005,$C147,'3 Nhật ký dừng máy'!$K$6:$K$1005,"Ngoài kế hoạch"))</f>
        <v/>
      </c>
      <c r="S147" s="31" t="str">
        <f t="shared" si="26"/>
        <v/>
      </c>
      <c r="T147" s="31" t="str">
        <f t="shared" si="27"/>
        <v/>
      </c>
      <c r="U147" s="31" t="str">
        <f t="shared" si="28"/>
        <v/>
      </c>
      <c r="V147" s="32" t="str">
        <f t="shared" si="29"/>
        <v/>
      </c>
      <c r="W147" s="30" t="str">
        <f t="shared" si="30"/>
        <v/>
      </c>
      <c r="X147" s="33" t="str">
        <f t="shared" si="31"/>
        <v/>
      </c>
      <c r="Y147" s="34" t="str">
        <f t="shared" si="32"/>
        <v/>
      </c>
    </row>
    <row r="148" spans="1:25" x14ac:dyDescent="0.2">
      <c r="A148" s="35"/>
      <c r="B148" s="21"/>
      <c r="C148" s="18"/>
      <c r="D148" s="21"/>
      <c r="E148" s="21"/>
      <c r="F148" s="21"/>
      <c r="G148" s="36"/>
      <c r="H148" s="36"/>
      <c r="I148" s="36"/>
      <c r="J148" s="37"/>
      <c r="K148" s="18"/>
      <c r="L148" s="28" t="str">
        <f t="shared" si="22"/>
        <v/>
      </c>
      <c r="M148" s="29" t="str">
        <f t="shared" si="23"/>
        <v/>
      </c>
      <c r="N148" s="29" t="str">
        <f t="shared" si="24"/>
        <v/>
      </c>
      <c r="O148" s="30" t="str">
        <f t="shared" si="25"/>
        <v/>
      </c>
      <c r="P148" s="28" t="str">
        <f>IF($C148="","",IFERROR(INDEX(CA_TG,MATCH(B148,DS_CA,0))-INDEX(CA_NGHI,MATCH(B148,DS_CA,0))-SUMIFS('3 Nhật ký dừng máy'!$I$6:$I$1005,'3 Nhật ký dừng máy'!$A$6:$A$1005,$A148,'3 Nhật ký dừng máy'!$B$6:$B$1005,$B148,'3 Nhật ký dừng máy'!$C$6:$C$1005,$C148,'3 Nhật ký dừng máy'!$K$6:$K$1005,"Có kế hoạch"),"?"))</f>
        <v/>
      </c>
      <c r="Q148" s="28" t="str">
        <f>IF($C148="","",SUMIFS('3 Nhật ký dừng máy'!$I$6:$I$1005,'3 Nhật ký dừng máy'!$A$6:$A$1005,$A148,'3 Nhật ký dừng máy'!$B$6:$B$1005,$B148,'3 Nhật ký dừng máy'!$C$6:$C$1005,$C148,'3 Nhật ký dừng máy'!$K$6:$K$1005,"Ngoài kế hoạch"))</f>
        <v/>
      </c>
      <c r="R148" s="30" t="str">
        <f>IF($C148="","",COUNTIFS('3 Nhật ký dừng máy'!$A$6:$A$1005,$A148,'3 Nhật ký dừng máy'!$B$6:$B$1005,$B148,'3 Nhật ký dừng máy'!$C$6:$C$1005,$C148,'3 Nhật ký dừng máy'!$K$6:$K$1005,"Ngoài kế hoạch"))</f>
        <v/>
      </c>
      <c r="S148" s="31" t="str">
        <f t="shared" si="26"/>
        <v/>
      </c>
      <c r="T148" s="31" t="str">
        <f t="shared" si="27"/>
        <v/>
      </c>
      <c r="U148" s="31" t="str">
        <f t="shared" si="28"/>
        <v/>
      </c>
      <c r="V148" s="32" t="str">
        <f t="shared" si="29"/>
        <v/>
      </c>
      <c r="W148" s="30" t="str">
        <f t="shared" si="30"/>
        <v/>
      </c>
      <c r="X148" s="33" t="str">
        <f t="shared" si="31"/>
        <v/>
      </c>
      <c r="Y148" s="34" t="str">
        <f t="shared" si="32"/>
        <v/>
      </c>
    </row>
    <row r="149" spans="1:25" x14ac:dyDescent="0.2">
      <c r="A149" s="35"/>
      <c r="B149" s="21"/>
      <c r="C149" s="18"/>
      <c r="D149" s="21"/>
      <c r="E149" s="21"/>
      <c r="F149" s="21"/>
      <c r="G149" s="36"/>
      <c r="H149" s="36"/>
      <c r="I149" s="36"/>
      <c r="J149" s="37"/>
      <c r="K149" s="18"/>
      <c r="L149" s="28" t="str">
        <f t="shared" si="22"/>
        <v/>
      </c>
      <c r="M149" s="29" t="str">
        <f t="shared" si="23"/>
        <v/>
      </c>
      <c r="N149" s="29" t="str">
        <f t="shared" si="24"/>
        <v/>
      </c>
      <c r="O149" s="30" t="str">
        <f t="shared" si="25"/>
        <v/>
      </c>
      <c r="P149" s="28" t="str">
        <f>IF($C149="","",IFERROR(INDEX(CA_TG,MATCH(B149,DS_CA,0))-INDEX(CA_NGHI,MATCH(B149,DS_CA,0))-SUMIFS('3 Nhật ký dừng máy'!$I$6:$I$1005,'3 Nhật ký dừng máy'!$A$6:$A$1005,$A149,'3 Nhật ký dừng máy'!$B$6:$B$1005,$B149,'3 Nhật ký dừng máy'!$C$6:$C$1005,$C149,'3 Nhật ký dừng máy'!$K$6:$K$1005,"Có kế hoạch"),"?"))</f>
        <v/>
      </c>
      <c r="Q149" s="28" t="str">
        <f>IF($C149="","",SUMIFS('3 Nhật ký dừng máy'!$I$6:$I$1005,'3 Nhật ký dừng máy'!$A$6:$A$1005,$A149,'3 Nhật ký dừng máy'!$B$6:$B$1005,$B149,'3 Nhật ký dừng máy'!$C$6:$C$1005,$C149,'3 Nhật ký dừng máy'!$K$6:$K$1005,"Ngoài kế hoạch"))</f>
        <v/>
      </c>
      <c r="R149" s="30" t="str">
        <f>IF($C149="","",COUNTIFS('3 Nhật ký dừng máy'!$A$6:$A$1005,$A149,'3 Nhật ký dừng máy'!$B$6:$B$1005,$B149,'3 Nhật ký dừng máy'!$C$6:$C$1005,$C149,'3 Nhật ký dừng máy'!$K$6:$K$1005,"Ngoài kế hoạch"))</f>
        <v/>
      </c>
      <c r="S149" s="31" t="str">
        <f t="shared" si="26"/>
        <v/>
      </c>
      <c r="T149" s="31" t="str">
        <f t="shared" si="27"/>
        <v/>
      </c>
      <c r="U149" s="31" t="str">
        <f t="shared" si="28"/>
        <v/>
      </c>
      <c r="V149" s="32" t="str">
        <f t="shared" si="29"/>
        <v/>
      </c>
      <c r="W149" s="30" t="str">
        <f t="shared" si="30"/>
        <v/>
      </c>
      <c r="X149" s="33" t="str">
        <f t="shared" si="31"/>
        <v/>
      </c>
      <c r="Y149" s="34" t="str">
        <f t="shared" si="32"/>
        <v/>
      </c>
    </row>
    <row r="150" spans="1:25" x14ac:dyDescent="0.2">
      <c r="A150" s="35"/>
      <c r="B150" s="21"/>
      <c r="C150" s="18"/>
      <c r="D150" s="21"/>
      <c r="E150" s="21"/>
      <c r="F150" s="21"/>
      <c r="G150" s="36"/>
      <c r="H150" s="36"/>
      <c r="I150" s="36"/>
      <c r="J150" s="37"/>
      <c r="K150" s="18"/>
      <c r="L150" s="28" t="str">
        <f t="shared" si="22"/>
        <v/>
      </c>
      <c r="M150" s="29" t="str">
        <f t="shared" si="23"/>
        <v/>
      </c>
      <c r="N150" s="29" t="str">
        <f t="shared" si="24"/>
        <v/>
      </c>
      <c r="O150" s="30" t="str">
        <f t="shared" si="25"/>
        <v/>
      </c>
      <c r="P150" s="28" t="str">
        <f>IF($C150="","",IFERROR(INDEX(CA_TG,MATCH(B150,DS_CA,0))-INDEX(CA_NGHI,MATCH(B150,DS_CA,0))-SUMIFS('3 Nhật ký dừng máy'!$I$6:$I$1005,'3 Nhật ký dừng máy'!$A$6:$A$1005,$A150,'3 Nhật ký dừng máy'!$B$6:$B$1005,$B150,'3 Nhật ký dừng máy'!$C$6:$C$1005,$C150,'3 Nhật ký dừng máy'!$K$6:$K$1005,"Có kế hoạch"),"?"))</f>
        <v/>
      </c>
      <c r="Q150" s="28" t="str">
        <f>IF($C150="","",SUMIFS('3 Nhật ký dừng máy'!$I$6:$I$1005,'3 Nhật ký dừng máy'!$A$6:$A$1005,$A150,'3 Nhật ký dừng máy'!$B$6:$B$1005,$B150,'3 Nhật ký dừng máy'!$C$6:$C$1005,$C150,'3 Nhật ký dừng máy'!$K$6:$K$1005,"Ngoài kế hoạch"))</f>
        <v/>
      </c>
      <c r="R150" s="30" t="str">
        <f>IF($C150="","",COUNTIFS('3 Nhật ký dừng máy'!$A$6:$A$1005,$A150,'3 Nhật ký dừng máy'!$B$6:$B$1005,$B150,'3 Nhật ký dừng máy'!$C$6:$C$1005,$C150,'3 Nhật ký dừng máy'!$K$6:$K$1005,"Ngoài kế hoạch"))</f>
        <v/>
      </c>
      <c r="S150" s="31" t="str">
        <f t="shared" si="26"/>
        <v/>
      </c>
      <c r="T150" s="31" t="str">
        <f t="shared" si="27"/>
        <v/>
      </c>
      <c r="U150" s="31" t="str">
        <f t="shared" si="28"/>
        <v/>
      </c>
      <c r="V150" s="32" t="str">
        <f t="shared" si="29"/>
        <v/>
      </c>
      <c r="W150" s="30" t="str">
        <f t="shared" si="30"/>
        <v/>
      </c>
      <c r="X150" s="33" t="str">
        <f t="shared" si="31"/>
        <v/>
      </c>
      <c r="Y150" s="34" t="str">
        <f t="shared" si="32"/>
        <v/>
      </c>
    </row>
    <row r="151" spans="1:25" x14ac:dyDescent="0.2">
      <c r="A151" s="35"/>
      <c r="B151" s="21"/>
      <c r="C151" s="18"/>
      <c r="D151" s="21"/>
      <c r="E151" s="21"/>
      <c r="F151" s="21"/>
      <c r="G151" s="36"/>
      <c r="H151" s="36"/>
      <c r="I151" s="36"/>
      <c r="J151" s="37"/>
      <c r="K151" s="18"/>
      <c r="L151" s="28" t="str">
        <f t="shared" si="22"/>
        <v/>
      </c>
      <c r="M151" s="29" t="str">
        <f t="shared" si="23"/>
        <v/>
      </c>
      <c r="N151" s="29" t="str">
        <f t="shared" si="24"/>
        <v/>
      </c>
      <c r="O151" s="30" t="str">
        <f t="shared" si="25"/>
        <v/>
      </c>
      <c r="P151" s="28" t="str">
        <f>IF($C151="","",IFERROR(INDEX(CA_TG,MATCH(B151,DS_CA,0))-INDEX(CA_NGHI,MATCH(B151,DS_CA,0))-SUMIFS('3 Nhật ký dừng máy'!$I$6:$I$1005,'3 Nhật ký dừng máy'!$A$6:$A$1005,$A151,'3 Nhật ký dừng máy'!$B$6:$B$1005,$B151,'3 Nhật ký dừng máy'!$C$6:$C$1005,$C151,'3 Nhật ký dừng máy'!$K$6:$K$1005,"Có kế hoạch"),"?"))</f>
        <v/>
      </c>
      <c r="Q151" s="28" t="str">
        <f>IF($C151="","",SUMIFS('3 Nhật ký dừng máy'!$I$6:$I$1005,'3 Nhật ký dừng máy'!$A$6:$A$1005,$A151,'3 Nhật ký dừng máy'!$B$6:$B$1005,$B151,'3 Nhật ký dừng máy'!$C$6:$C$1005,$C151,'3 Nhật ký dừng máy'!$K$6:$K$1005,"Ngoài kế hoạch"))</f>
        <v/>
      </c>
      <c r="R151" s="30" t="str">
        <f>IF($C151="","",COUNTIFS('3 Nhật ký dừng máy'!$A$6:$A$1005,$A151,'3 Nhật ký dừng máy'!$B$6:$B$1005,$B151,'3 Nhật ký dừng máy'!$C$6:$C$1005,$C151,'3 Nhật ký dừng máy'!$K$6:$K$1005,"Ngoài kế hoạch"))</f>
        <v/>
      </c>
      <c r="S151" s="31" t="str">
        <f t="shared" si="26"/>
        <v/>
      </c>
      <c r="T151" s="31" t="str">
        <f t="shared" si="27"/>
        <v/>
      </c>
      <c r="U151" s="31" t="str">
        <f t="shared" si="28"/>
        <v/>
      </c>
      <c r="V151" s="32" t="str">
        <f t="shared" si="29"/>
        <v/>
      </c>
      <c r="W151" s="30" t="str">
        <f t="shared" si="30"/>
        <v/>
      </c>
      <c r="X151" s="33" t="str">
        <f t="shared" si="31"/>
        <v/>
      </c>
      <c r="Y151" s="34" t="str">
        <f t="shared" si="32"/>
        <v/>
      </c>
    </row>
    <row r="152" spans="1:25" x14ac:dyDescent="0.2">
      <c r="A152" s="35"/>
      <c r="B152" s="21"/>
      <c r="C152" s="18"/>
      <c r="D152" s="21"/>
      <c r="E152" s="21"/>
      <c r="F152" s="21"/>
      <c r="G152" s="36"/>
      <c r="H152" s="36"/>
      <c r="I152" s="36"/>
      <c r="J152" s="37"/>
      <c r="K152" s="18"/>
      <c r="L152" s="28" t="str">
        <f t="shared" si="22"/>
        <v/>
      </c>
      <c r="M152" s="29" t="str">
        <f t="shared" si="23"/>
        <v/>
      </c>
      <c r="N152" s="29" t="str">
        <f t="shared" si="24"/>
        <v/>
      </c>
      <c r="O152" s="30" t="str">
        <f t="shared" si="25"/>
        <v/>
      </c>
      <c r="P152" s="28" t="str">
        <f>IF($C152="","",IFERROR(INDEX(CA_TG,MATCH(B152,DS_CA,0))-INDEX(CA_NGHI,MATCH(B152,DS_CA,0))-SUMIFS('3 Nhật ký dừng máy'!$I$6:$I$1005,'3 Nhật ký dừng máy'!$A$6:$A$1005,$A152,'3 Nhật ký dừng máy'!$B$6:$B$1005,$B152,'3 Nhật ký dừng máy'!$C$6:$C$1005,$C152,'3 Nhật ký dừng máy'!$K$6:$K$1005,"Có kế hoạch"),"?"))</f>
        <v/>
      </c>
      <c r="Q152" s="28" t="str">
        <f>IF($C152="","",SUMIFS('3 Nhật ký dừng máy'!$I$6:$I$1005,'3 Nhật ký dừng máy'!$A$6:$A$1005,$A152,'3 Nhật ký dừng máy'!$B$6:$B$1005,$B152,'3 Nhật ký dừng máy'!$C$6:$C$1005,$C152,'3 Nhật ký dừng máy'!$K$6:$K$1005,"Ngoài kế hoạch"))</f>
        <v/>
      </c>
      <c r="R152" s="30" t="str">
        <f>IF($C152="","",COUNTIFS('3 Nhật ký dừng máy'!$A$6:$A$1005,$A152,'3 Nhật ký dừng máy'!$B$6:$B$1005,$B152,'3 Nhật ký dừng máy'!$C$6:$C$1005,$C152,'3 Nhật ký dừng máy'!$K$6:$K$1005,"Ngoài kế hoạch"))</f>
        <v/>
      </c>
      <c r="S152" s="31" t="str">
        <f t="shared" si="26"/>
        <v/>
      </c>
      <c r="T152" s="31" t="str">
        <f t="shared" si="27"/>
        <v/>
      </c>
      <c r="U152" s="31" t="str">
        <f t="shared" si="28"/>
        <v/>
      </c>
      <c r="V152" s="32" t="str">
        <f t="shared" si="29"/>
        <v/>
      </c>
      <c r="W152" s="30" t="str">
        <f t="shared" si="30"/>
        <v/>
      </c>
      <c r="X152" s="33" t="str">
        <f t="shared" si="31"/>
        <v/>
      </c>
      <c r="Y152" s="34" t="str">
        <f t="shared" si="32"/>
        <v/>
      </c>
    </row>
    <row r="153" spans="1:25" x14ac:dyDescent="0.2">
      <c r="A153" s="35"/>
      <c r="B153" s="21"/>
      <c r="C153" s="18"/>
      <c r="D153" s="21"/>
      <c r="E153" s="21"/>
      <c r="F153" s="21"/>
      <c r="G153" s="36"/>
      <c r="H153" s="36"/>
      <c r="I153" s="36"/>
      <c r="J153" s="37"/>
      <c r="K153" s="18"/>
      <c r="L153" s="28" t="str">
        <f t="shared" si="22"/>
        <v/>
      </c>
      <c r="M153" s="29" t="str">
        <f t="shared" si="23"/>
        <v/>
      </c>
      <c r="N153" s="29" t="str">
        <f t="shared" si="24"/>
        <v/>
      </c>
      <c r="O153" s="30" t="str">
        <f t="shared" si="25"/>
        <v/>
      </c>
      <c r="P153" s="28" t="str">
        <f>IF($C153="","",IFERROR(INDEX(CA_TG,MATCH(B153,DS_CA,0))-INDEX(CA_NGHI,MATCH(B153,DS_CA,0))-SUMIFS('3 Nhật ký dừng máy'!$I$6:$I$1005,'3 Nhật ký dừng máy'!$A$6:$A$1005,$A153,'3 Nhật ký dừng máy'!$B$6:$B$1005,$B153,'3 Nhật ký dừng máy'!$C$6:$C$1005,$C153,'3 Nhật ký dừng máy'!$K$6:$K$1005,"Có kế hoạch"),"?"))</f>
        <v/>
      </c>
      <c r="Q153" s="28" t="str">
        <f>IF($C153="","",SUMIFS('3 Nhật ký dừng máy'!$I$6:$I$1005,'3 Nhật ký dừng máy'!$A$6:$A$1005,$A153,'3 Nhật ký dừng máy'!$B$6:$B$1005,$B153,'3 Nhật ký dừng máy'!$C$6:$C$1005,$C153,'3 Nhật ký dừng máy'!$K$6:$K$1005,"Ngoài kế hoạch"))</f>
        <v/>
      </c>
      <c r="R153" s="30" t="str">
        <f>IF($C153="","",COUNTIFS('3 Nhật ký dừng máy'!$A$6:$A$1005,$A153,'3 Nhật ký dừng máy'!$B$6:$B$1005,$B153,'3 Nhật ký dừng máy'!$C$6:$C$1005,$C153,'3 Nhật ký dừng máy'!$K$6:$K$1005,"Ngoài kế hoạch"))</f>
        <v/>
      </c>
      <c r="S153" s="31" t="str">
        <f t="shared" si="26"/>
        <v/>
      </c>
      <c r="T153" s="31" t="str">
        <f t="shared" si="27"/>
        <v/>
      </c>
      <c r="U153" s="31" t="str">
        <f t="shared" si="28"/>
        <v/>
      </c>
      <c r="V153" s="32" t="str">
        <f t="shared" si="29"/>
        <v/>
      </c>
      <c r="W153" s="30" t="str">
        <f t="shared" si="30"/>
        <v/>
      </c>
      <c r="X153" s="33" t="str">
        <f t="shared" si="31"/>
        <v/>
      </c>
      <c r="Y153" s="34" t="str">
        <f t="shared" si="32"/>
        <v/>
      </c>
    </row>
    <row r="154" spans="1:25" x14ac:dyDescent="0.2">
      <c r="A154" s="35"/>
      <c r="B154" s="21"/>
      <c r="C154" s="18"/>
      <c r="D154" s="21"/>
      <c r="E154" s="21"/>
      <c r="F154" s="21"/>
      <c r="G154" s="36"/>
      <c r="H154" s="36"/>
      <c r="I154" s="36"/>
      <c r="J154" s="37"/>
      <c r="K154" s="18"/>
      <c r="L154" s="28" t="str">
        <f t="shared" si="22"/>
        <v/>
      </c>
      <c r="M154" s="29" t="str">
        <f t="shared" si="23"/>
        <v/>
      </c>
      <c r="N154" s="29" t="str">
        <f t="shared" si="24"/>
        <v/>
      </c>
      <c r="O154" s="30" t="str">
        <f t="shared" si="25"/>
        <v/>
      </c>
      <c r="P154" s="28" t="str">
        <f>IF($C154="","",IFERROR(INDEX(CA_TG,MATCH(B154,DS_CA,0))-INDEX(CA_NGHI,MATCH(B154,DS_CA,0))-SUMIFS('3 Nhật ký dừng máy'!$I$6:$I$1005,'3 Nhật ký dừng máy'!$A$6:$A$1005,$A154,'3 Nhật ký dừng máy'!$B$6:$B$1005,$B154,'3 Nhật ký dừng máy'!$C$6:$C$1005,$C154,'3 Nhật ký dừng máy'!$K$6:$K$1005,"Có kế hoạch"),"?"))</f>
        <v/>
      </c>
      <c r="Q154" s="28" t="str">
        <f>IF($C154="","",SUMIFS('3 Nhật ký dừng máy'!$I$6:$I$1005,'3 Nhật ký dừng máy'!$A$6:$A$1005,$A154,'3 Nhật ký dừng máy'!$B$6:$B$1005,$B154,'3 Nhật ký dừng máy'!$C$6:$C$1005,$C154,'3 Nhật ký dừng máy'!$K$6:$K$1005,"Ngoài kế hoạch"))</f>
        <v/>
      </c>
      <c r="R154" s="30" t="str">
        <f>IF($C154="","",COUNTIFS('3 Nhật ký dừng máy'!$A$6:$A$1005,$A154,'3 Nhật ký dừng máy'!$B$6:$B$1005,$B154,'3 Nhật ký dừng máy'!$C$6:$C$1005,$C154,'3 Nhật ký dừng máy'!$K$6:$K$1005,"Ngoài kế hoạch"))</f>
        <v/>
      </c>
      <c r="S154" s="31" t="str">
        <f t="shared" si="26"/>
        <v/>
      </c>
      <c r="T154" s="31" t="str">
        <f t="shared" si="27"/>
        <v/>
      </c>
      <c r="U154" s="31" t="str">
        <f t="shared" si="28"/>
        <v/>
      </c>
      <c r="V154" s="32" t="str">
        <f t="shared" si="29"/>
        <v/>
      </c>
      <c r="W154" s="30" t="str">
        <f t="shared" si="30"/>
        <v/>
      </c>
      <c r="X154" s="33" t="str">
        <f t="shared" si="31"/>
        <v/>
      </c>
      <c r="Y154" s="34" t="str">
        <f t="shared" si="32"/>
        <v/>
      </c>
    </row>
    <row r="155" spans="1:25" x14ac:dyDescent="0.2">
      <c r="A155" s="35"/>
      <c r="B155" s="21"/>
      <c r="C155" s="18"/>
      <c r="D155" s="21"/>
      <c r="E155" s="21"/>
      <c r="F155" s="21"/>
      <c r="G155" s="36"/>
      <c r="H155" s="36"/>
      <c r="I155" s="36"/>
      <c r="J155" s="37"/>
      <c r="K155" s="18"/>
      <c r="L155" s="28" t="str">
        <f t="shared" si="22"/>
        <v/>
      </c>
      <c r="M155" s="29" t="str">
        <f t="shared" si="23"/>
        <v/>
      </c>
      <c r="N155" s="29" t="str">
        <f t="shared" si="24"/>
        <v/>
      </c>
      <c r="O155" s="30" t="str">
        <f t="shared" si="25"/>
        <v/>
      </c>
      <c r="P155" s="28" t="str">
        <f>IF($C155="","",IFERROR(INDEX(CA_TG,MATCH(B155,DS_CA,0))-INDEX(CA_NGHI,MATCH(B155,DS_CA,0))-SUMIFS('3 Nhật ký dừng máy'!$I$6:$I$1005,'3 Nhật ký dừng máy'!$A$6:$A$1005,$A155,'3 Nhật ký dừng máy'!$B$6:$B$1005,$B155,'3 Nhật ký dừng máy'!$C$6:$C$1005,$C155,'3 Nhật ký dừng máy'!$K$6:$K$1005,"Có kế hoạch"),"?"))</f>
        <v/>
      </c>
      <c r="Q155" s="28" t="str">
        <f>IF($C155="","",SUMIFS('3 Nhật ký dừng máy'!$I$6:$I$1005,'3 Nhật ký dừng máy'!$A$6:$A$1005,$A155,'3 Nhật ký dừng máy'!$B$6:$B$1005,$B155,'3 Nhật ký dừng máy'!$C$6:$C$1005,$C155,'3 Nhật ký dừng máy'!$K$6:$K$1005,"Ngoài kế hoạch"))</f>
        <v/>
      </c>
      <c r="R155" s="30" t="str">
        <f>IF($C155="","",COUNTIFS('3 Nhật ký dừng máy'!$A$6:$A$1005,$A155,'3 Nhật ký dừng máy'!$B$6:$B$1005,$B155,'3 Nhật ký dừng máy'!$C$6:$C$1005,$C155,'3 Nhật ký dừng máy'!$K$6:$K$1005,"Ngoài kế hoạch"))</f>
        <v/>
      </c>
      <c r="S155" s="31" t="str">
        <f t="shared" si="26"/>
        <v/>
      </c>
      <c r="T155" s="31" t="str">
        <f t="shared" si="27"/>
        <v/>
      </c>
      <c r="U155" s="31" t="str">
        <f t="shared" si="28"/>
        <v/>
      </c>
      <c r="V155" s="32" t="str">
        <f t="shared" si="29"/>
        <v/>
      </c>
      <c r="W155" s="30" t="str">
        <f t="shared" si="30"/>
        <v/>
      </c>
      <c r="X155" s="33" t="str">
        <f t="shared" si="31"/>
        <v/>
      </c>
      <c r="Y155" s="34" t="str">
        <f t="shared" si="32"/>
        <v/>
      </c>
    </row>
    <row r="156" spans="1:25" x14ac:dyDescent="0.2">
      <c r="A156" s="35"/>
      <c r="B156" s="21"/>
      <c r="C156" s="18"/>
      <c r="D156" s="21"/>
      <c r="E156" s="21"/>
      <c r="F156" s="21"/>
      <c r="G156" s="36"/>
      <c r="H156" s="36"/>
      <c r="I156" s="36"/>
      <c r="J156" s="37"/>
      <c r="K156" s="18"/>
      <c r="L156" s="28" t="str">
        <f t="shared" si="22"/>
        <v/>
      </c>
      <c r="M156" s="29" t="str">
        <f t="shared" si="23"/>
        <v/>
      </c>
      <c r="N156" s="29" t="str">
        <f t="shared" si="24"/>
        <v/>
      </c>
      <c r="O156" s="30" t="str">
        <f t="shared" si="25"/>
        <v/>
      </c>
      <c r="P156" s="28" t="str">
        <f>IF($C156="","",IFERROR(INDEX(CA_TG,MATCH(B156,DS_CA,0))-INDEX(CA_NGHI,MATCH(B156,DS_CA,0))-SUMIFS('3 Nhật ký dừng máy'!$I$6:$I$1005,'3 Nhật ký dừng máy'!$A$6:$A$1005,$A156,'3 Nhật ký dừng máy'!$B$6:$B$1005,$B156,'3 Nhật ký dừng máy'!$C$6:$C$1005,$C156,'3 Nhật ký dừng máy'!$K$6:$K$1005,"Có kế hoạch"),"?"))</f>
        <v/>
      </c>
      <c r="Q156" s="28" t="str">
        <f>IF($C156="","",SUMIFS('3 Nhật ký dừng máy'!$I$6:$I$1005,'3 Nhật ký dừng máy'!$A$6:$A$1005,$A156,'3 Nhật ký dừng máy'!$B$6:$B$1005,$B156,'3 Nhật ký dừng máy'!$C$6:$C$1005,$C156,'3 Nhật ký dừng máy'!$K$6:$K$1005,"Ngoài kế hoạch"))</f>
        <v/>
      </c>
      <c r="R156" s="30" t="str">
        <f>IF($C156="","",COUNTIFS('3 Nhật ký dừng máy'!$A$6:$A$1005,$A156,'3 Nhật ký dừng máy'!$B$6:$B$1005,$B156,'3 Nhật ký dừng máy'!$C$6:$C$1005,$C156,'3 Nhật ký dừng máy'!$K$6:$K$1005,"Ngoài kế hoạch"))</f>
        <v/>
      </c>
      <c r="S156" s="31" t="str">
        <f t="shared" si="26"/>
        <v/>
      </c>
      <c r="T156" s="31" t="str">
        <f t="shared" si="27"/>
        <v/>
      </c>
      <c r="U156" s="31" t="str">
        <f t="shared" si="28"/>
        <v/>
      </c>
      <c r="V156" s="32" t="str">
        <f t="shared" si="29"/>
        <v/>
      </c>
      <c r="W156" s="30" t="str">
        <f t="shared" si="30"/>
        <v/>
      </c>
      <c r="X156" s="33" t="str">
        <f t="shared" si="31"/>
        <v/>
      </c>
      <c r="Y156" s="34" t="str">
        <f t="shared" si="32"/>
        <v/>
      </c>
    </row>
    <row r="157" spans="1:25" x14ac:dyDescent="0.2">
      <c r="A157" s="35"/>
      <c r="B157" s="21"/>
      <c r="C157" s="18"/>
      <c r="D157" s="21"/>
      <c r="E157" s="21"/>
      <c r="F157" s="21"/>
      <c r="G157" s="36"/>
      <c r="H157" s="36"/>
      <c r="I157" s="36"/>
      <c r="J157" s="37"/>
      <c r="K157" s="18"/>
      <c r="L157" s="28" t="str">
        <f t="shared" si="22"/>
        <v/>
      </c>
      <c r="M157" s="29" t="str">
        <f t="shared" si="23"/>
        <v/>
      </c>
      <c r="N157" s="29" t="str">
        <f t="shared" si="24"/>
        <v/>
      </c>
      <c r="O157" s="30" t="str">
        <f t="shared" si="25"/>
        <v/>
      </c>
      <c r="P157" s="28" t="str">
        <f>IF($C157="","",IFERROR(INDEX(CA_TG,MATCH(B157,DS_CA,0))-INDEX(CA_NGHI,MATCH(B157,DS_CA,0))-SUMIFS('3 Nhật ký dừng máy'!$I$6:$I$1005,'3 Nhật ký dừng máy'!$A$6:$A$1005,$A157,'3 Nhật ký dừng máy'!$B$6:$B$1005,$B157,'3 Nhật ký dừng máy'!$C$6:$C$1005,$C157,'3 Nhật ký dừng máy'!$K$6:$K$1005,"Có kế hoạch"),"?"))</f>
        <v/>
      </c>
      <c r="Q157" s="28" t="str">
        <f>IF($C157="","",SUMIFS('3 Nhật ký dừng máy'!$I$6:$I$1005,'3 Nhật ký dừng máy'!$A$6:$A$1005,$A157,'3 Nhật ký dừng máy'!$B$6:$B$1005,$B157,'3 Nhật ký dừng máy'!$C$6:$C$1005,$C157,'3 Nhật ký dừng máy'!$K$6:$K$1005,"Ngoài kế hoạch"))</f>
        <v/>
      </c>
      <c r="R157" s="30" t="str">
        <f>IF($C157="","",COUNTIFS('3 Nhật ký dừng máy'!$A$6:$A$1005,$A157,'3 Nhật ký dừng máy'!$B$6:$B$1005,$B157,'3 Nhật ký dừng máy'!$C$6:$C$1005,$C157,'3 Nhật ký dừng máy'!$K$6:$K$1005,"Ngoài kế hoạch"))</f>
        <v/>
      </c>
      <c r="S157" s="31" t="str">
        <f t="shared" si="26"/>
        <v/>
      </c>
      <c r="T157" s="31" t="str">
        <f t="shared" si="27"/>
        <v/>
      </c>
      <c r="U157" s="31" t="str">
        <f t="shared" si="28"/>
        <v/>
      </c>
      <c r="V157" s="32" t="str">
        <f t="shared" si="29"/>
        <v/>
      </c>
      <c r="W157" s="30" t="str">
        <f t="shared" si="30"/>
        <v/>
      </c>
      <c r="X157" s="33" t="str">
        <f t="shared" si="31"/>
        <v/>
      </c>
      <c r="Y157" s="34" t="str">
        <f t="shared" si="32"/>
        <v/>
      </c>
    </row>
    <row r="158" spans="1:25" x14ac:dyDescent="0.2">
      <c r="A158" s="35"/>
      <c r="B158" s="21"/>
      <c r="C158" s="18"/>
      <c r="D158" s="21"/>
      <c r="E158" s="21"/>
      <c r="F158" s="21"/>
      <c r="G158" s="36"/>
      <c r="H158" s="36"/>
      <c r="I158" s="36"/>
      <c r="J158" s="37"/>
      <c r="K158" s="18"/>
      <c r="L158" s="28" t="str">
        <f t="shared" si="22"/>
        <v/>
      </c>
      <c r="M158" s="29" t="str">
        <f t="shared" si="23"/>
        <v/>
      </c>
      <c r="N158" s="29" t="str">
        <f t="shared" si="24"/>
        <v/>
      </c>
      <c r="O158" s="30" t="str">
        <f t="shared" si="25"/>
        <v/>
      </c>
      <c r="P158" s="28" t="str">
        <f>IF($C158="","",IFERROR(INDEX(CA_TG,MATCH(B158,DS_CA,0))-INDEX(CA_NGHI,MATCH(B158,DS_CA,0))-SUMIFS('3 Nhật ký dừng máy'!$I$6:$I$1005,'3 Nhật ký dừng máy'!$A$6:$A$1005,$A158,'3 Nhật ký dừng máy'!$B$6:$B$1005,$B158,'3 Nhật ký dừng máy'!$C$6:$C$1005,$C158,'3 Nhật ký dừng máy'!$K$6:$K$1005,"Có kế hoạch"),"?"))</f>
        <v/>
      </c>
      <c r="Q158" s="28" t="str">
        <f>IF($C158="","",SUMIFS('3 Nhật ký dừng máy'!$I$6:$I$1005,'3 Nhật ký dừng máy'!$A$6:$A$1005,$A158,'3 Nhật ký dừng máy'!$B$6:$B$1005,$B158,'3 Nhật ký dừng máy'!$C$6:$C$1005,$C158,'3 Nhật ký dừng máy'!$K$6:$K$1005,"Ngoài kế hoạch"))</f>
        <v/>
      </c>
      <c r="R158" s="30" t="str">
        <f>IF($C158="","",COUNTIFS('3 Nhật ký dừng máy'!$A$6:$A$1005,$A158,'3 Nhật ký dừng máy'!$B$6:$B$1005,$B158,'3 Nhật ký dừng máy'!$C$6:$C$1005,$C158,'3 Nhật ký dừng máy'!$K$6:$K$1005,"Ngoài kế hoạch"))</f>
        <v/>
      </c>
      <c r="S158" s="31" t="str">
        <f t="shared" si="26"/>
        <v/>
      </c>
      <c r="T158" s="31" t="str">
        <f t="shared" si="27"/>
        <v/>
      </c>
      <c r="U158" s="31" t="str">
        <f t="shared" si="28"/>
        <v/>
      </c>
      <c r="V158" s="32" t="str">
        <f t="shared" si="29"/>
        <v/>
      </c>
      <c r="W158" s="30" t="str">
        <f t="shared" si="30"/>
        <v/>
      </c>
      <c r="X158" s="33" t="str">
        <f t="shared" si="31"/>
        <v/>
      </c>
      <c r="Y158" s="34" t="str">
        <f t="shared" si="32"/>
        <v/>
      </c>
    </row>
    <row r="159" spans="1:25" x14ac:dyDescent="0.2">
      <c r="A159" s="35"/>
      <c r="B159" s="21"/>
      <c r="C159" s="18"/>
      <c r="D159" s="21"/>
      <c r="E159" s="21"/>
      <c r="F159" s="21"/>
      <c r="G159" s="36"/>
      <c r="H159" s="36"/>
      <c r="I159" s="36"/>
      <c r="J159" s="37"/>
      <c r="K159" s="18"/>
      <c r="L159" s="28" t="str">
        <f t="shared" si="22"/>
        <v/>
      </c>
      <c r="M159" s="29" t="str">
        <f t="shared" si="23"/>
        <v/>
      </c>
      <c r="N159" s="29" t="str">
        <f t="shared" si="24"/>
        <v/>
      </c>
      <c r="O159" s="30" t="str">
        <f t="shared" si="25"/>
        <v/>
      </c>
      <c r="P159" s="28" t="str">
        <f>IF($C159="","",IFERROR(INDEX(CA_TG,MATCH(B159,DS_CA,0))-INDEX(CA_NGHI,MATCH(B159,DS_CA,0))-SUMIFS('3 Nhật ký dừng máy'!$I$6:$I$1005,'3 Nhật ký dừng máy'!$A$6:$A$1005,$A159,'3 Nhật ký dừng máy'!$B$6:$B$1005,$B159,'3 Nhật ký dừng máy'!$C$6:$C$1005,$C159,'3 Nhật ký dừng máy'!$K$6:$K$1005,"Có kế hoạch"),"?"))</f>
        <v/>
      </c>
      <c r="Q159" s="28" t="str">
        <f>IF($C159="","",SUMIFS('3 Nhật ký dừng máy'!$I$6:$I$1005,'3 Nhật ký dừng máy'!$A$6:$A$1005,$A159,'3 Nhật ký dừng máy'!$B$6:$B$1005,$B159,'3 Nhật ký dừng máy'!$C$6:$C$1005,$C159,'3 Nhật ký dừng máy'!$K$6:$K$1005,"Ngoài kế hoạch"))</f>
        <v/>
      </c>
      <c r="R159" s="30" t="str">
        <f>IF($C159="","",COUNTIFS('3 Nhật ký dừng máy'!$A$6:$A$1005,$A159,'3 Nhật ký dừng máy'!$B$6:$B$1005,$B159,'3 Nhật ký dừng máy'!$C$6:$C$1005,$C159,'3 Nhật ký dừng máy'!$K$6:$K$1005,"Ngoài kế hoạch"))</f>
        <v/>
      </c>
      <c r="S159" s="31" t="str">
        <f t="shared" si="26"/>
        <v/>
      </c>
      <c r="T159" s="31" t="str">
        <f t="shared" si="27"/>
        <v/>
      </c>
      <c r="U159" s="31" t="str">
        <f t="shared" si="28"/>
        <v/>
      </c>
      <c r="V159" s="32" t="str">
        <f t="shared" si="29"/>
        <v/>
      </c>
      <c r="W159" s="30" t="str">
        <f t="shared" si="30"/>
        <v/>
      </c>
      <c r="X159" s="33" t="str">
        <f t="shared" si="31"/>
        <v/>
      </c>
      <c r="Y159" s="34" t="str">
        <f t="shared" si="32"/>
        <v/>
      </c>
    </row>
    <row r="160" spans="1:25" x14ac:dyDescent="0.2">
      <c r="A160" s="35"/>
      <c r="B160" s="21"/>
      <c r="C160" s="18"/>
      <c r="D160" s="21"/>
      <c r="E160" s="21"/>
      <c r="F160" s="21"/>
      <c r="G160" s="36"/>
      <c r="H160" s="36"/>
      <c r="I160" s="36"/>
      <c r="J160" s="37"/>
      <c r="K160" s="18"/>
      <c r="L160" s="28" t="str">
        <f t="shared" si="22"/>
        <v/>
      </c>
      <c r="M160" s="29" t="str">
        <f t="shared" si="23"/>
        <v/>
      </c>
      <c r="N160" s="29" t="str">
        <f t="shared" si="24"/>
        <v/>
      </c>
      <c r="O160" s="30" t="str">
        <f t="shared" si="25"/>
        <v/>
      </c>
      <c r="P160" s="28" t="str">
        <f>IF($C160="","",IFERROR(INDEX(CA_TG,MATCH(B160,DS_CA,0))-INDEX(CA_NGHI,MATCH(B160,DS_CA,0))-SUMIFS('3 Nhật ký dừng máy'!$I$6:$I$1005,'3 Nhật ký dừng máy'!$A$6:$A$1005,$A160,'3 Nhật ký dừng máy'!$B$6:$B$1005,$B160,'3 Nhật ký dừng máy'!$C$6:$C$1005,$C160,'3 Nhật ký dừng máy'!$K$6:$K$1005,"Có kế hoạch"),"?"))</f>
        <v/>
      </c>
      <c r="Q160" s="28" t="str">
        <f>IF($C160="","",SUMIFS('3 Nhật ký dừng máy'!$I$6:$I$1005,'3 Nhật ký dừng máy'!$A$6:$A$1005,$A160,'3 Nhật ký dừng máy'!$B$6:$B$1005,$B160,'3 Nhật ký dừng máy'!$C$6:$C$1005,$C160,'3 Nhật ký dừng máy'!$K$6:$K$1005,"Ngoài kế hoạch"))</f>
        <v/>
      </c>
      <c r="R160" s="30" t="str">
        <f>IF($C160="","",COUNTIFS('3 Nhật ký dừng máy'!$A$6:$A$1005,$A160,'3 Nhật ký dừng máy'!$B$6:$B$1005,$B160,'3 Nhật ký dừng máy'!$C$6:$C$1005,$C160,'3 Nhật ký dừng máy'!$K$6:$K$1005,"Ngoài kế hoạch"))</f>
        <v/>
      </c>
      <c r="S160" s="31" t="str">
        <f t="shared" si="26"/>
        <v/>
      </c>
      <c r="T160" s="31" t="str">
        <f t="shared" si="27"/>
        <v/>
      </c>
      <c r="U160" s="31" t="str">
        <f t="shared" si="28"/>
        <v/>
      </c>
      <c r="V160" s="32" t="str">
        <f t="shared" si="29"/>
        <v/>
      </c>
      <c r="W160" s="30" t="str">
        <f t="shared" si="30"/>
        <v/>
      </c>
      <c r="X160" s="33" t="str">
        <f t="shared" si="31"/>
        <v/>
      </c>
      <c r="Y160" s="34" t="str">
        <f t="shared" si="32"/>
        <v/>
      </c>
    </row>
    <row r="161" spans="1:25" x14ac:dyDescent="0.2">
      <c r="A161" s="35"/>
      <c r="B161" s="21"/>
      <c r="C161" s="18"/>
      <c r="D161" s="21"/>
      <c r="E161" s="21"/>
      <c r="F161" s="21"/>
      <c r="G161" s="36"/>
      <c r="H161" s="36"/>
      <c r="I161" s="36"/>
      <c r="J161" s="37"/>
      <c r="K161" s="18"/>
      <c r="L161" s="28" t="str">
        <f t="shared" si="22"/>
        <v/>
      </c>
      <c r="M161" s="29" t="str">
        <f t="shared" si="23"/>
        <v/>
      </c>
      <c r="N161" s="29" t="str">
        <f t="shared" si="24"/>
        <v/>
      </c>
      <c r="O161" s="30" t="str">
        <f t="shared" si="25"/>
        <v/>
      </c>
      <c r="P161" s="28" t="str">
        <f>IF($C161="","",IFERROR(INDEX(CA_TG,MATCH(B161,DS_CA,0))-INDEX(CA_NGHI,MATCH(B161,DS_CA,0))-SUMIFS('3 Nhật ký dừng máy'!$I$6:$I$1005,'3 Nhật ký dừng máy'!$A$6:$A$1005,$A161,'3 Nhật ký dừng máy'!$B$6:$B$1005,$B161,'3 Nhật ký dừng máy'!$C$6:$C$1005,$C161,'3 Nhật ký dừng máy'!$K$6:$K$1005,"Có kế hoạch"),"?"))</f>
        <v/>
      </c>
      <c r="Q161" s="28" t="str">
        <f>IF($C161="","",SUMIFS('3 Nhật ký dừng máy'!$I$6:$I$1005,'3 Nhật ký dừng máy'!$A$6:$A$1005,$A161,'3 Nhật ký dừng máy'!$B$6:$B$1005,$B161,'3 Nhật ký dừng máy'!$C$6:$C$1005,$C161,'3 Nhật ký dừng máy'!$K$6:$K$1005,"Ngoài kế hoạch"))</f>
        <v/>
      </c>
      <c r="R161" s="30" t="str">
        <f>IF($C161="","",COUNTIFS('3 Nhật ký dừng máy'!$A$6:$A$1005,$A161,'3 Nhật ký dừng máy'!$B$6:$B$1005,$B161,'3 Nhật ký dừng máy'!$C$6:$C$1005,$C161,'3 Nhật ký dừng máy'!$K$6:$K$1005,"Ngoài kế hoạch"))</f>
        <v/>
      </c>
      <c r="S161" s="31" t="str">
        <f t="shared" si="26"/>
        <v/>
      </c>
      <c r="T161" s="31" t="str">
        <f t="shared" si="27"/>
        <v/>
      </c>
      <c r="U161" s="31" t="str">
        <f t="shared" si="28"/>
        <v/>
      </c>
      <c r="V161" s="32" t="str">
        <f t="shared" si="29"/>
        <v/>
      </c>
      <c r="W161" s="30" t="str">
        <f t="shared" si="30"/>
        <v/>
      </c>
      <c r="X161" s="33" t="str">
        <f t="shared" si="31"/>
        <v/>
      </c>
      <c r="Y161" s="34" t="str">
        <f t="shared" si="32"/>
        <v/>
      </c>
    </row>
    <row r="162" spans="1:25" x14ac:dyDescent="0.2">
      <c r="A162" s="35"/>
      <c r="B162" s="21"/>
      <c r="C162" s="18"/>
      <c r="D162" s="21"/>
      <c r="E162" s="21"/>
      <c r="F162" s="21"/>
      <c r="G162" s="36"/>
      <c r="H162" s="36"/>
      <c r="I162" s="36"/>
      <c r="J162" s="37"/>
      <c r="K162" s="18"/>
      <c r="L162" s="28" t="str">
        <f t="shared" si="22"/>
        <v/>
      </c>
      <c r="M162" s="29" t="str">
        <f t="shared" si="23"/>
        <v/>
      </c>
      <c r="N162" s="29" t="str">
        <f t="shared" si="24"/>
        <v/>
      </c>
      <c r="O162" s="30" t="str">
        <f t="shared" si="25"/>
        <v/>
      </c>
      <c r="P162" s="28" t="str">
        <f>IF($C162="","",IFERROR(INDEX(CA_TG,MATCH(B162,DS_CA,0))-INDEX(CA_NGHI,MATCH(B162,DS_CA,0))-SUMIFS('3 Nhật ký dừng máy'!$I$6:$I$1005,'3 Nhật ký dừng máy'!$A$6:$A$1005,$A162,'3 Nhật ký dừng máy'!$B$6:$B$1005,$B162,'3 Nhật ký dừng máy'!$C$6:$C$1005,$C162,'3 Nhật ký dừng máy'!$K$6:$K$1005,"Có kế hoạch"),"?"))</f>
        <v/>
      </c>
      <c r="Q162" s="28" t="str">
        <f>IF($C162="","",SUMIFS('3 Nhật ký dừng máy'!$I$6:$I$1005,'3 Nhật ký dừng máy'!$A$6:$A$1005,$A162,'3 Nhật ký dừng máy'!$B$6:$B$1005,$B162,'3 Nhật ký dừng máy'!$C$6:$C$1005,$C162,'3 Nhật ký dừng máy'!$K$6:$K$1005,"Ngoài kế hoạch"))</f>
        <v/>
      </c>
      <c r="R162" s="30" t="str">
        <f>IF($C162="","",COUNTIFS('3 Nhật ký dừng máy'!$A$6:$A$1005,$A162,'3 Nhật ký dừng máy'!$B$6:$B$1005,$B162,'3 Nhật ký dừng máy'!$C$6:$C$1005,$C162,'3 Nhật ký dừng máy'!$K$6:$K$1005,"Ngoài kế hoạch"))</f>
        <v/>
      </c>
      <c r="S162" s="31" t="str">
        <f t="shared" si="26"/>
        <v/>
      </c>
      <c r="T162" s="31" t="str">
        <f t="shared" si="27"/>
        <v/>
      </c>
      <c r="U162" s="31" t="str">
        <f t="shared" si="28"/>
        <v/>
      </c>
      <c r="V162" s="32" t="str">
        <f t="shared" si="29"/>
        <v/>
      </c>
      <c r="W162" s="30" t="str">
        <f t="shared" si="30"/>
        <v/>
      </c>
      <c r="X162" s="33" t="str">
        <f t="shared" si="31"/>
        <v/>
      </c>
      <c r="Y162" s="34" t="str">
        <f t="shared" si="32"/>
        <v/>
      </c>
    </row>
    <row r="163" spans="1:25" x14ac:dyDescent="0.2">
      <c r="A163" s="35"/>
      <c r="B163" s="21"/>
      <c r="C163" s="18"/>
      <c r="D163" s="21"/>
      <c r="E163" s="21"/>
      <c r="F163" s="21"/>
      <c r="G163" s="36"/>
      <c r="H163" s="36"/>
      <c r="I163" s="36"/>
      <c r="J163" s="37"/>
      <c r="K163" s="18"/>
      <c r="L163" s="28" t="str">
        <f t="shared" si="22"/>
        <v/>
      </c>
      <c r="M163" s="29" t="str">
        <f t="shared" si="23"/>
        <v/>
      </c>
      <c r="N163" s="29" t="str">
        <f t="shared" si="24"/>
        <v/>
      </c>
      <c r="O163" s="30" t="str">
        <f t="shared" si="25"/>
        <v/>
      </c>
      <c r="P163" s="28" t="str">
        <f>IF($C163="","",IFERROR(INDEX(CA_TG,MATCH(B163,DS_CA,0))-INDEX(CA_NGHI,MATCH(B163,DS_CA,0))-SUMIFS('3 Nhật ký dừng máy'!$I$6:$I$1005,'3 Nhật ký dừng máy'!$A$6:$A$1005,$A163,'3 Nhật ký dừng máy'!$B$6:$B$1005,$B163,'3 Nhật ký dừng máy'!$C$6:$C$1005,$C163,'3 Nhật ký dừng máy'!$K$6:$K$1005,"Có kế hoạch"),"?"))</f>
        <v/>
      </c>
      <c r="Q163" s="28" t="str">
        <f>IF($C163="","",SUMIFS('3 Nhật ký dừng máy'!$I$6:$I$1005,'3 Nhật ký dừng máy'!$A$6:$A$1005,$A163,'3 Nhật ký dừng máy'!$B$6:$B$1005,$B163,'3 Nhật ký dừng máy'!$C$6:$C$1005,$C163,'3 Nhật ký dừng máy'!$K$6:$K$1005,"Ngoài kế hoạch"))</f>
        <v/>
      </c>
      <c r="R163" s="30" t="str">
        <f>IF($C163="","",COUNTIFS('3 Nhật ký dừng máy'!$A$6:$A$1005,$A163,'3 Nhật ký dừng máy'!$B$6:$B$1005,$B163,'3 Nhật ký dừng máy'!$C$6:$C$1005,$C163,'3 Nhật ký dừng máy'!$K$6:$K$1005,"Ngoài kế hoạch"))</f>
        <v/>
      </c>
      <c r="S163" s="31" t="str">
        <f t="shared" si="26"/>
        <v/>
      </c>
      <c r="T163" s="31" t="str">
        <f t="shared" si="27"/>
        <v/>
      </c>
      <c r="U163" s="31" t="str">
        <f t="shared" si="28"/>
        <v/>
      </c>
      <c r="V163" s="32" t="str">
        <f t="shared" si="29"/>
        <v/>
      </c>
      <c r="W163" s="30" t="str">
        <f t="shared" si="30"/>
        <v/>
      </c>
      <c r="X163" s="33" t="str">
        <f t="shared" si="31"/>
        <v/>
      </c>
      <c r="Y163" s="34" t="str">
        <f t="shared" si="32"/>
        <v/>
      </c>
    </row>
    <row r="164" spans="1:25" x14ac:dyDescent="0.2">
      <c r="A164" s="35"/>
      <c r="B164" s="21"/>
      <c r="C164" s="18"/>
      <c r="D164" s="21"/>
      <c r="E164" s="21"/>
      <c r="F164" s="21"/>
      <c r="G164" s="36"/>
      <c r="H164" s="36"/>
      <c r="I164" s="36"/>
      <c r="J164" s="37"/>
      <c r="K164" s="18"/>
      <c r="L164" s="28" t="str">
        <f t="shared" si="22"/>
        <v/>
      </c>
      <c r="M164" s="29" t="str">
        <f t="shared" si="23"/>
        <v/>
      </c>
      <c r="N164" s="29" t="str">
        <f t="shared" si="24"/>
        <v/>
      </c>
      <c r="O164" s="30" t="str">
        <f t="shared" si="25"/>
        <v/>
      </c>
      <c r="P164" s="28" t="str">
        <f>IF($C164="","",IFERROR(INDEX(CA_TG,MATCH(B164,DS_CA,0))-INDEX(CA_NGHI,MATCH(B164,DS_CA,0))-SUMIFS('3 Nhật ký dừng máy'!$I$6:$I$1005,'3 Nhật ký dừng máy'!$A$6:$A$1005,$A164,'3 Nhật ký dừng máy'!$B$6:$B$1005,$B164,'3 Nhật ký dừng máy'!$C$6:$C$1005,$C164,'3 Nhật ký dừng máy'!$K$6:$K$1005,"Có kế hoạch"),"?"))</f>
        <v/>
      </c>
      <c r="Q164" s="28" t="str">
        <f>IF($C164="","",SUMIFS('3 Nhật ký dừng máy'!$I$6:$I$1005,'3 Nhật ký dừng máy'!$A$6:$A$1005,$A164,'3 Nhật ký dừng máy'!$B$6:$B$1005,$B164,'3 Nhật ký dừng máy'!$C$6:$C$1005,$C164,'3 Nhật ký dừng máy'!$K$6:$K$1005,"Ngoài kế hoạch"))</f>
        <v/>
      </c>
      <c r="R164" s="30" t="str">
        <f>IF($C164="","",COUNTIFS('3 Nhật ký dừng máy'!$A$6:$A$1005,$A164,'3 Nhật ký dừng máy'!$B$6:$B$1005,$B164,'3 Nhật ký dừng máy'!$C$6:$C$1005,$C164,'3 Nhật ký dừng máy'!$K$6:$K$1005,"Ngoài kế hoạch"))</f>
        <v/>
      </c>
      <c r="S164" s="31" t="str">
        <f t="shared" si="26"/>
        <v/>
      </c>
      <c r="T164" s="31" t="str">
        <f t="shared" si="27"/>
        <v/>
      </c>
      <c r="U164" s="31" t="str">
        <f t="shared" si="28"/>
        <v/>
      </c>
      <c r="V164" s="32" t="str">
        <f t="shared" si="29"/>
        <v/>
      </c>
      <c r="W164" s="30" t="str">
        <f t="shared" si="30"/>
        <v/>
      </c>
      <c r="X164" s="33" t="str">
        <f t="shared" si="31"/>
        <v/>
      </c>
      <c r="Y164" s="34" t="str">
        <f t="shared" si="32"/>
        <v/>
      </c>
    </row>
    <row r="165" spans="1:25" x14ac:dyDescent="0.2">
      <c r="A165" s="35"/>
      <c r="B165" s="21"/>
      <c r="C165" s="18"/>
      <c r="D165" s="21"/>
      <c r="E165" s="21"/>
      <c r="F165" s="21"/>
      <c r="G165" s="36"/>
      <c r="H165" s="36"/>
      <c r="I165" s="36"/>
      <c r="J165" s="37"/>
      <c r="K165" s="18"/>
      <c r="L165" s="28" t="str">
        <f t="shared" si="22"/>
        <v/>
      </c>
      <c r="M165" s="29" t="str">
        <f t="shared" si="23"/>
        <v/>
      </c>
      <c r="N165" s="29" t="str">
        <f t="shared" si="24"/>
        <v/>
      </c>
      <c r="O165" s="30" t="str">
        <f t="shared" si="25"/>
        <v/>
      </c>
      <c r="P165" s="28" t="str">
        <f>IF($C165="","",IFERROR(INDEX(CA_TG,MATCH(B165,DS_CA,0))-INDEX(CA_NGHI,MATCH(B165,DS_CA,0))-SUMIFS('3 Nhật ký dừng máy'!$I$6:$I$1005,'3 Nhật ký dừng máy'!$A$6:$A$1005,$A165,'3 Nhật ký dừng máy'!$B$6:$B$1005,$B165,'3 Nhật ký dừng máy'!$C$6:$C$1005,$C165,'3 Nhật ký dừng máy'!$K$6:$K$1005,"Có kế hoạch"),"?"))</f>
        <v/>
      </c>
      <c r="Q165" s="28" t="str">
        <f>IF($C165="","",SUMIFS('3 Nhật ký dừng máy'!$I$6:$I$1005,'3 Nhật ký dừng máy'!$A$6:$A$1005,$A165,'3 Nhật ký dừng máy'!$B$6:$B$1005,$B165,'3 Nhật ký dừng máy'!$C$6:$C$1005,$C165,'3 Nhật ký dừng máy'!$K$6:$K$1005,"Ngoài kế hoạch"))</f>
        <v/>
      </c>
      <c r="R165" s="30" t="str">
        <f>IF($C165="","",COUNTIFS('3 Nhật ký dừng máy'!$A$6:$A$1005,$A165,'3 Nhật ký dừng máy'!$B$6:$B$1005,$B165,'3 Nhật ký dừng máy'!$C$6:$C$1005,$C165,'3 Nhật ký dừng máy'!$K$6:$K$1005,"Ngoài kế hoạch"))</f>
        <v/>
      </c>
      <c r="S165" s="31" t="str">
        <f t="shared" si="26"/>
        <v/>
      </c>
      <c r="T165" s="31" t="str">
        <f t="shared" si="27"/>
        <v/>
      </c>
      <c r="U165" s="31" t="str">
        <f t="shared" si="28"/>
        <v/>
      </c>
      <c r="V165" s="32" t="str">
        <f t="shared" si="29"/>
        <v/>
      </c>
      <c r="W165" s="30" t="str">
        <f t="shared" si="30"/>
        <v/>
      </c>
      <c r="X165" s="33" t="str">
        <f t="shared" si="31"/>
        <v/>
      </c>
      <c r="Y165" s="34" t="str">
        <f t="shared" si="32"/>
        <v/>
      </c>
    </row>
    <row r="166" spans="1:25" x14ac:dyDescent="0.2">
      <c r="A166" s="35"/>
      <c r="B166" s="21"/>
      <c r="C166" s="18"/>
      <c r="D166" s="21"/>
      <c r="E166" s="21"/>
      <c r="F166" s="21"/>
      <c r="G166" s="36"/>
      <c r="H166" s="36"/>
      <c r="I166" s="36"/>
      <c r="J166" s="37"/>
      <c r="K166" s="18"/>
      <c r="L166" s="28" t="str">
        <f t="shared" si="22"/>
        <v/>
      </c>
      <c r="M166" s="29" t="str">
        <f t="shared" si="23"/>
        <v/>
      </c>
      <c r="N166" s="29" t="str">
        <f t="shared" si="24"/>
        <v/>
      </c>
      <c r="O166" s="30" t="str">
        <f t="shared" si="25"/>
        <v/>
      </c>
      <c r="P166" s="28" t="str">
        <f>IF($C166="","",IFERROR(INDEX(CA_TG,MATCH(B166,DS_CA,0))-INDEX(CA_NGHI,MATCH(B166,DS_CA,0))-SUMIFS('3 Nhật ký dừng máy'!$I$6:$I$1005,'3 Nhật ký dừng máy'!$A$6:$A$1005,$A166,'3 Nhật ký dừng máy'!$B$6:$B$1005,$B166,'3 Nhật ký dừng máy'!$C$6:$C$1005,$C166,'3 Nhật ký dừng máy'!$K$6:$K$1005,"Có kế hoạch"),"?"))</f>
        <v/>
      </c>
      <c r="Q166" s="28" t="str">
        <f>IF($C166="","",SUMIFS('3 Nhật ký dừng máy'!$I$6:$I$1005,'3 Nhật ký dừng máy'!$A$6:$A$1005,$A166,'3 Nhật ký dừng máy'!$B$6:$B$1005,$B166,'3 Nhật ký dừng máy'!$C$6:$C$1005,$C166,'3 Nhật ký dừng máy'!$K$6:$K$1005,"Ngoài kế hoạch"))</f>
        <v/>
      </c>
      <c r="R166" s="30" t="str">
        <f>IF($C166="","",COUNTIFS('3 Nhật ký dừng máy'!$A$6:$A$1005,$A166,'3 Nhật ký dừng máy'!$B$6:$B$1005,$B166,'3 Nhật ký dừng máy'!$C$6:$C$1005,$C166,'3 Nhật ký dừng máy'!$K$6:$K$1005,"Ngoài kế hoạch"))</f>
        <v/>
      </c>
      <c r="S166" s="31" t="str">
        <f t="shared" si="26"/>
        <v/>
      </c>
      <c r="T166" s="31" t="str">
        <f t="shared" si="27"/>
        <v/>
      </c>
      <c r="U166" s="31" t="str">
        <f t="shared" si="28"/>
        <v/>
      </c>
      <c r="V166" s="32" t="str">
        <f t="shared" si="29"/>
        <v/>
      </c>
      <c r="W166" s="30" t="str">
        <f t="shared" si="30"/>
        <v/>
      </c>
      <c r="X166" s="33" t="str">
        <f t="shared" si="31"/>
        <v/>
      </c>
      <c r="Y166" s="34" t="str">
        <f t="shared" si="32"/>
        <v/>
      </c>
    </row>
    <row r="167" spans="1:25" x14ac:dyDescent="0.2">
      <c r="A167" s="35"/>
      <c r="B167" s="21"/>
      <c r="C167" s="18"/>
      <c r="D167" s="21"/>
      <c r="E167" s="21"/>
      <c r="F167" s="21"/>
      <c r="G167" s="36"/>
      <c r="H167" s="36"/>
      <c r="I167" s="36"/>
      <c r="J167" s="37"/>
      <c r="K167" s="18"/>
      <c r="L167" s="28" t="str">
        <f t="shared" si="22"/>
        <v/>
      </c>
      <c r="M167" s="29" t="str">
        <f t="shared" si="23"/>
        <v/>
      </c>
      <c r="N167" s="29" t="str">
        <f t="shared" si="24"/>
        <v/>
      </c>
      <c r="O167" s="30" t="str">
        <f t="shared" si="25"/>
        <v/>
      </c>
      <c r="P167" s="28" t="str">
        <f>IF($C167="","",IFERROR(INDEX(CA_TG,MATCH(B167,DS_CA,0))-INDEX(CA_NGHI,MATCH(B167,DS_CA,0))-SUMIFS('3 Nhật ký dừng máy'!$I$6:$I$1005,'3 Nhật ký dừng máy'!$A$6:$A$1005,$A167,'3 Nhật ký dừng máy'!$B$6:$B$1005,$B167,'3 Nhật ký dừng máy'!$C$6:$C$1005,$C167,'3 Nhật ký dừng máy'!$K$6:$K$1005,"Có kế hoạch"),"?"))</f>
        <v/>
      </c>
      <c r="Q167" s="28" t="str">
        <f>IF($C167="","",SUMIFS('3 Nhật ký dừng máy'!$I$6:$I$1005,'3 Nhật ký dừng máy'!$A$6:$A$1005,$A167,'3 Nhật ký dừng máy'!$B$6:$B$1005,$B167,'3 Nhật ký dừng máy'!$C$6:$C$1005,$C167,'3 Nhật ký dừng máy'!$K$6:$K$1005,"Ngoài kế hoạch"))</f>
        <v/>
      </c>
      <c r="R167" s="30" t="str">
        <f>IF($C167="","",COUNTIFS('3 Nhật ký dừng máy'!$A$6:$A$1005,$A167,'3 Nhật ký dừng máy'!$B$6:$B$1005,$B167,'3 Nhật ký dừng máy'!$C$6:$C$1005,$C167,'3 Nhật ký dừng máy'!$K$6:$K$1005,"Ngoài kế hoạch"))</f>
        <v/>
      </c>
      <c r="S167" s="31" t="str">
        <f t="shared" si="26"/>
        <v/>
      </c>
      <c r="T167" s="31" t="str">
        <f t="shared" si="27"/>
        <v/>
      </c>
      <c r="U167" s="31" t="str">
        <f t="shared" si="28"/>
        <v/>
      </c>
      <c r="V167" s="32" t="str">
        <f t="shared" si="29"/>
        <v/>
      </c>
      <c r="W167" s="30" t="str">
        <f t="shared" si="30"/>
        <v/>
      </c>
      <c r="X167" s="33" t="str">
        <f t="shared" si="31"/>
        <v/>
      </c>
      <c r="Y167" s="34" t="str">
        <f t="shared" si="32"/>
        <v/>
      </c>
    </row>
    <row r="168" spans="1:25" x14ac:dyDescent="0.2">
      <c r="A168" s="35"/>
      <c r="B168" s="21"/>
      <c r="C168" s="18"/>
      <c r="D168" s="21"/>
      <c r="E168" s="21"/>
      <c r="F168" s="21"/>
      <c r="G168" s="36"/>
      <c r="H168" s="36"/>
      <c r="I168" s="36"/>
      <c r="J168" s="37"/>
      <c r="K168" s="18"/>
      <c r="L168" s="28" t="str">
        <f t="shared" si="22"/>
        <v/>
      </c>
      <c r="M168" s="29" t="str">
        <f t="shared" si="23"/>
        <v/>
      </c>
      <c r="N168" s="29" t="str">
        <f t="shared" si="24"/>
        <v/>
      </c>
      <c r="O168" s="30" t="str">
        <f t="shared" si="25"/>
        <v/>
      </c>
      <c r="P168" s="28" t="str">
        <f>IF($C168="","",IFERROR(INDEX(CA_TG,MATCH(B168,DS_CA,0))-INDEX(CA_NGHI,MATCH(B168,DS_CA,0))-SUMIFS('3 Nhật ký dừng máy'!$I$6:$I$1005,'3 Nhật ký dừng máy'!$A$6:$A$1005,$A168,'3 Nhật ký dừng máy'!$B$6:$B$1005,$B168,'3 Nhật ký dừng máy'!$C$6:$C$1005,$C168,'3 Nhật ký dừng máy'!$K$6:$K$1005,"Có kế hoạch"),"?"))</f>
        <v/>
      </c>
      <c r="Q168" s="28" t="str">
        <f>IF($C168="","",SUMIFS('3 Nhật ký dừng máy'!$I$6:$I$1005,'3 Nhật ký dừng máy'!$A$6:$A$1005,$A168,'3 Nhật ký dừng máy'!$B$6:$B$1005,$B168,'3 Nhật ký dừng máy'!$C$6:$C$1005,$C168,'3 Nhật ký dừng máy'!$K$6:$K$1005,"Ngoài kế hoạch"))</f>
        <v/>
      </c>
      <c r="R168" s="30" t="str">
        <f>IF($C168="","",COUNTIFS('3 Nhật ký dừng máy'!$A$6:$A$1005,$A168,'3 Nhật ký dừng máy'!$B$6:$B$1005,$B168,'3 Nhật ký dừng máy'!$C$6:$C$1005,$C168,'3 Nhật ký dừng máy'!$K$6:$K$1005,"Ngoài kế hoạch"))</f>
        <v/>
      </c>
      <c r="S168" s="31" t="str">
        <f t="shared" si="26"/>
        <v/>
      </c>
      <c r="T168" s="31" t="str">
        <f t="shared" si="27"/>
        <v/>
      </c>
      <c r="U168" s="31" t="str">
        <f t="shared" si="28"/>
        <v/>
      </c>
      <c r="V168" s="32" t="str">
        <f t="shared" si="29"/>
        <v/>
      </c>
      <c r="W168" s="30" t="str">
        <f t="shared" si="30"/>
        <v/>
      </c>
      <c r="X168" s="33" t="str">
        <f t="shared" si="31"/>
        <v/>
      </c>
      <c r="Y168" s="34" t="str">
        <f t="shared" si="32"/>
        <v/>
      </c>
    </row>
    <row r="169" spans="1:25" x14ac:dyDescent="0.2">
      <c r="A169" s="35"/>
      <c r="B169" s="21"/>
      <c r="C169" s="18"/>
      <c r="D169" s="21"/>
      <c r="E169" s="21"/>
      <c r="F169" s="21"/>
      <c r="G169" s="36"/>
      <c r="H169" s="36"/>
      <c r="I169" s="36"/>
      <c r="J169" s="37"/>
      <c r="K169" s="18"/>
      <c r="L169" s="28" t="str">
        <f t="shared" si="22"/>
        <v/>
      </c>
      <c r="M169" s="29" t="str">
        <f t="shared" si="23"/>
        <v/>
      </c>
      <c r="N169" s="29" t="str">
        <f t="shared" si="24"/>
        <v/>
      </c>
      <c r="O169" s="30" t="str">
        <f t="shared" si="25"/>
        <v/>
      </c>
      <c r="P169" s="28" t="str">
        <f>IF($C169="","",IFERROR(INDEX(CA_TG,MATCH(B169,DS_CA,0))-INDEX(CA_NGHI,MATCH(B169,DS_CA,0))-SUMIFS('3 Nhật ký dừng máy'!$I$6:$I$1005,'3 Nhật ký dừng máy'!$A$6:$A$1005,$A169,'3 Nhật ký dừng máy'!$B$6:$B$1005,$B169,'3 Nhật ký dừng máy'!$C$6:$C$1005,$C169,'3 Nhật ký dừng máy'!$K$6:$K$1005,"Có kế hoạch"),"?"))</f>
        <v/>
      </c>
      <c r="Q169" s="28" t="str">
        <f>IF($C169="","",SUMIFS('3 Nhật ký dừng máy'!$I$6:$I$1005,'3 Nhật ký dừng máy'!$A$6:$A$1005,$A169,'3 Nhật ký dừng máy'!$B$6:$B$1005,$B169,'3 Nhật ký dừng máy'!$C$6:$C$1005,$C169,'3 Nhật ký dừng máy'!$K$6:$K$1005,"Ngoài kế hoạch"))</f>
        <v/>
      </c>
      <c r="R169" s="30" t="str">
        <f>IF($C169="","",COUNTIFS('3 Nhật ký dừng máy'!$A$6:$A$1005,$A169,'3 Nhật ký dừng máy'!$B$6:$B$1005,$B169,'3 Nhật ký dừng máy'!$C$6:$C$1005,$C169,'3 Nhật ký dừng máy'!$K$6:$K$1005,"Ngoài kế hoạch"))</f>
        <v/>
      </c>
      <c r="S169" s="31" t="str">
        <f t="shared" si="26"/>
        <v/>
      </c>
      <c r="T169" s="31" t="str">
        <f t="shared" si="27"/>
        <v/>
      </c>
      <c r="U169" s="31" t="str">
        <f t="shared" si="28"/>
        <v/>
      </c>
      <c r="V169" s="32" t="str">
        <f t="shared" si="29"/>
        <v/>
      </c>
      <c r="W169" s="30" t="str">
        <f t="shared" si="30"/>
        <v/>
      </c>
      <c r="X169" s="33" t="str">
        <f t="shared" si="31"/>
        <v/>
      </c>
      <c r="Y169" s="34" t="str">
        <f t="shared" si="32"/>
        <v/>
      </c>
    </row>
    <row r="170" spans="1:25" x14ac:dyDescent="0.2">
      <c r="A170" s="35"/>
      <c r="B170" s="21"/>
      <c r="C170" s="18"/>
      <c r="D170" s="21"/>
      <c r="E170" s="21"/>
      <c r="F170" s="21"/>
      <c r="G170" s="36"/>
      <c r="H170" s="36"/>
      <c r="I170" s="36"/>
      <c r="J170" s="37"/>
      <c r="K170" s="18"/>
      <c r="L170" s="28" t="str">
        <f t="shared" si="22"/>
        <v/>
      </c>
      <c r="M170" s="29" t="str">
        <f t="shared" si="23"/>
        <v/>
      </c>
      <c r="N170" s="29" t="str">
        <f t="shared" si="24"/>
        <v/>
      </c>
      <c r="O170" s="30" t="str">
        <f t="shared" si="25"/>
        <v/>
      </c>
      <c r="P170" s="28" t="str">
        <f>IF($C170="","",IFERROR(INDEX(CA_TG,MATCH(B170,DS_CA,0))-INDEX(CA_NGHI,MATCH(B170,DS_CA,0))-SUMIFS('3 Nhật ký dừng máy'!$I$6:$I$1005,'3 Nhật ký dừng máy'!$A$6:$A$1005,$A170,'3 Nhật ký dừng máy'!$B$6:$B$1005,$B170,'3 Nhật ký dừng máy'!$C$6:$C$1005,$C170,'3 Nhật ký dừng máy'!$K$6:$K$1005,"Có kế hoạch"),"?"))</f>
        <v/>
      </c>
      <c r="Q170" s="28" t="str">
        <f>IF($C170="","",SUMIFS('3 Nhật ký dừng máy'!$I$6:$I$1005,'3 Nhật ký dừng máy'!$A$6:$A$1005,$A170,'3 Nhật ký dừng máy'!$B$6:$B$1005,$B170,'3 Nhật ký dừng máy'!$C$6:$C$1005,$C170,'3 Nhật ký dừng máy'!$K$6:$K$1005,"Ngoài kế hoạch"))</f>
        <v/>
      </c>
      <c r="R170" s="30" t="str">
        <f>IF($C170="","",COUNTIFS('3 Nhật ký dừng máy'!$A$6:$A$1005,$A170,'3 Nhật ký dừng máy'!$B$6:$B$1005,$B170,'3 Nhật ký dừng máy'!$C$6:$C$1005,$C170,'3 Nhật ký dừng máy'!$K$6:$K$1005,"Ngoài kế hoạch"))</f>
        <v/>
      </c>
      <c r="S170" s="31" t="str">
        <f t="shared" si="26"/>
        <v/>
      </c>
      <c r="T170" s="31" t="str">
        <f t="shared" si="27"/>
        <v/>
      </c>
      <c r="U170" s="31" t="str">
        <f t="shared" si="28"/>
        <v/>
      </c>
      <c r="V170" s="32" t="str">
        <f t="shared" si="29"/>
        <v/>
      </c>
      <c r="W170" s="30" t="str">
        <f t="shared" si="30"/>
        <v/>
      </c>
      <c r="X170" s="33" t="str">
        <f t="shared" si="31"/>
        <v/>
      </c>
      <c r="Y170" s="34" t="str">
        <f t="shared" si="32"/>
        <v/>
      </c>
    </row>
    <row r="171" spans="1:25" x14ac:dyDescent="0.2">
      <c r="A171" s="35"/>
      <c r="B171" s="21"/>
      <c r="C171" s="18"/>
      <c r="D171" s="21"/>
      <c r="E171" s="21"/>
      <c r="F171" s="21"/>
      <c r="G171" s="36"/>
      <c r="H171" s="36"/>
      <c r="I171" s="36"/>
      <c r="J171" s="37"/>
      <c r="K171" s="18"/>
      <c r="L171" s="28" t="str">
        <f t="shared" si="22"/>
        <v/>
      </c>
      <c r="M171" s="29" t="str">
        <f t="shared" si="23"/>
        <v/>
      </c>
      <c r="N171" s="29" t="str">
        <f t="shared" si="24"/>
        <v/>
      </c>
      <c r="O171" s="30" t="str">
        <f t="shared" si="25"/>
        <v/>
      </c>
      <c r="P171" s="28" t="str">
        <f>IF($C171="","",IFERROR(INDEX(CA_TG,MATCH(B171,DS_CA,0))-INDEX(CA_NGHI,MATCH(B171,DS_CA,0))-SUMIFS('3 Nhật ký dừng máy'!$I$6:$I$1005,'3 Nhật ký dừng máy'!$A$6:$A$1005,$A171,'3 Nhật ký dừng máy'!$B$6:$B$1005,$B171,'3 Nhật ký dừng máy'!$C$6:$C$1005,$C171,'3 Nhật ký dừng máy'!$K$6:$K$1005,"Có kế hoạch"),"?"))</f>
        <v/>
      </c>
      <c r="Q171" s="28" t="str">
        <f>IF($C171="","",SUMIFS('3 Nhật ký dừng máy'!$I$6:$I$1005,'3 Nhật ký dừng máy'!$A$6:$A$1005,$A171,'3 Nhật ký dừng máy'!$B$6:$B$1005,$B171,'3 Nhật ký dừng máy'!$C$6:$C$1005,$C171,'3 Nhật ký dừng máy'!$K$6:$K$1005,"Ngoài kế hoạch"))</f>
        <v/>
      </c>
      <c r="R171" s="30" t="str">
        <f>IF($C171="","",COUNTIFS('3 Nhật ký dừng máy'!$A$6:$A$1005,$A171,'3 Nhật ký dừng máy'!$B$6:$B$1005,$B171,'3 Nhật ký dừng máy'!$C$6:$C$1005,$C171,'3 Nhật ký dừng máy'!$K$6:$K$1005,"Ngoài kế hoạch"))</f>
        <v/>
      </c>
      <c r="S171" s="31" t="str">
        <f t="shared" si="26"/>
        <v/>
      </c>
      <c r="T171" s="31" t="str">
        <f t="shared" si="27"/>
        <v/>
      </c>
      <c r="U171" s="31" t="str">
        <f t="shared" si="28"/>
        <v/>
      </c>
      <c r="V171" s="32" t="str">
        <f t="shared" si="29"/>
        <v/>
      </c>
      <c r="W171" s="30" t="str">
        <f t="shared" si="30"/>
        <v/>
      </c>
      <c r="X171" s="33" t="str">
        <f t="shared" si="31"/>
        <v/>
      </c>
      <c r="Y171" s="34" t="str">
        <f t="shared" si="32"/>
        <v/>
      </c>
    </row>
    <row r="172" spans="1:25" x14ac:dyDescent="0.2">
      <c r="A172" s="35"/>
      <c r="B172" s="21"/>
      <c r="C172" s="18"/>
      <c r="D172" s="21"/>
      <c r="E172" s="21"/>
      <c r="F172" s="21"/>
      <c r="G172" s="36"/>
      <c r="H172" s="36"/>
      <c r="I172" s="36"/>
      <c r="J172" s="37"/>
      <c r="K172" s="18"/>
      <c r="L172" s="28" t="str">
        <f t="shared" si="22"/>
        <v/>
      </c>
      <c r="M172" s="29" t="str">
        <f t="shared" si="23"/>
        <v/>
      </c>
      <c r="N172" s="29" t="str">
        <f t="shared" si="24"/>
        <v/>
      </c>
      <c r="O172" s="30" t="str">
        <f t="shared" si="25"/>
        <v/>
      </c>
      <c r="P172" s="28" t="str">
        <f>IF($C172="","",IFERROR(INDEX(CA_TG,MATCH(B172,DS_CA,0))-INDEX(CA_NGHI,MATCH(B172,DS_CA,0))-SUMIFS('3 Nhật ký dừng máy'!$I$6:$I$1005,'3 Nhật ký dừng máy'!$A$6:$A$1005,$A172,'3 Nhật ký dừng máy'!$B$6:$B$1005,$B172,'3 Nhật ký dừng máy'!$C$6:$C$1005,$C172,'3 Nhật ký dừng máy'!$K$6:$K$1005,"Có kế hoạch"),"?"))</f>
        <v/>
      </c>
      <c r="Q172" s="28" t="str">
        <f>IF($C172="","",SUMIFS('3 Nhật ký dừng máy'!$I$6:$I$1005,'3 Nhật ký dừng máy'!$A$6:$A$1005,$A172,'3 Nhật ký dừng máy'!$B$6:$B$1005,$B172,'3 Nhật ký dừng máy'!$C$6:$C$1005,$C172,'3 Nhật ký dừng máy'!$K$6:$K$1005,"Ngoài kế hoạch"))</f>
        <v/>
      </c>
      <c r="R172" s="30" t="str">
        <f>IF($C172="","",COUNTIFS('3 Nhật ký dừng máy'!$A$6:$A$1005,$A172,'3 Nhật ký dừng máy'!$B$6:$B$1005,$B172,'3 Nhật ký dừng máy'!$C$6:$C$1005,$C172,'3 Nhật ký dừng máy'!$K$6:$K$1005,"Ngoài kế hoạch"))</f>
        <v/>
      </c>
      <c r="S172" s="31" t="str">
        <f t="shared" si="26"/>
        <v/>
      </c>
      <c r="T172" s="31" t="str">
        <f t="shared" si="27"/>
        <v/>
      </c>
      <c r="U172" s="31" t="str">
        <f t="shared" si="28"/>
        <v/>
      </c>
      <c r="V172" s="32" t="str">
        <f t="shared" si="29"/>
        <v/>
      </c>
      <c r="W172" s="30" t="str">
        <f t="shared" si="30"/>
        <v/>
      </c>
      <c r="X172" s="33" t="str">
        <f t="shared" si="31"/>
        <v/>
      </c>
      <c r="Y172" s="34" t="str">
        <f t="shared" si="32"/>
        <v/>
      </c>
    </row>
    <row r="173" spans="1:25" x14ac:dyDescent="0.2">
      <c r="A173" s="35"/>
      <c r="B173" s="21"/>
      <c r="C173" s="18"/>
      <c r="D173" s="21"/>
      <c r="E173" s="21"/>
      <c r="F173" s="21"/>
      <c r="G173" s="36"/>
      <c r="H173" s="36"/>
      <c r="I173" s="36"/>
      <c r="J173" s="37"/>
      <c r="K173" s="18"/>
      <c r="L173" s="28" t="str">
        <f t="shared" si="22"/>
        <v/>
      </c>
      <c r="M173" s="29" t="str">
        <f t="shared" si="23"/>
        <v/>
      </c>
      <c r="N173" s="29" t="str">
        <f t="shared" si="24"/>
        <v/>
      </c>
      <c r="O173" s="30" t="str">
        <f t="shared" si="25"/>
        <v/>
      </c>
      <c r="P173" s="28" t="str">
        <f>IF($C173="","",IFERROR(INDEX(CA_TG,MATCH(B173,DS_CA,0))-INDEX(CA_NGHI,MATCH(B173,DS_CA,0))-SUMIFS('3 Nhật ký dừng máy'!$I$6:$I$1005,'3 Nhật ký dừng máy'!$A$6:$A$1005,$A173,'3 Nhật ký dừng máy'!$B$6:$B$1005,$B173,'3 Nhật ký dừng máy'!$C$6:$C$1005,$C173,'3 Nhật ký dừng máy'!$K$6:$K$1005,"Có kế hoạch"),"?"))</f>
        <v/>
      </c>
      <c r="Q173" s="28" t="str">
        <f>IF($C173="","",SUMIFS('3 Nhật ký dừng máy'!$I$6:$I$1005,'3 Nhật ký dừng máy'!$A$6:$A$1005,$A173,'3 Nhật ký dừng máy'!$B$6:$B$1005,$B173,'3 Nhật ký dừng máy'!$C$6:$C$1005,$C173,'3 Nhật ký dừng máy'!$K$6:$K$1005,"Ngoài kế hoạch"))</f>
        <v/>
      </c>
      <c r="R173" s="30" t="str">
        <f>IF($C173="","",COUNTIFS('3 Nhật ký dừng máy'!$A$6:$A$1005,$A173,'3 Nhật ký dừng máy'!$B$6:$B$1005,$B173,'3 Nhật ký dừng máy'!$C$6:$C$1005,$C173,'3 Nhật ký dừng máy'!$K$6:$K$1005,"Ngoài kế hoạch"))</f>
        <v/>
      </c>
      <c r="S173" s="31" t="str">
        <f t="shared" si="26"/>
        <v/>
      </c>
      <c r="T173" s="31" t="str">
        <f t="shared" si="27"/>
        <v/>
      </c>
      <c r="U173" s="31" t="str">
        <f t="shared" si="28"/>
        <v/>
      </c>
      <c r="V173" s="32" t="str">
        <f t="shared" si="29"/>
        <v/>
      </c>
      <c r="W173" s="30" t="str">
        <f t="shared" si="30"/>
        <v/>
      </c>
      <c r="X173" s="33" t="str">
        <f t="shared" si="31"/>
        <v/>
      </c>
      <c r="Y173" s="34" t="str">
        <f t="shared" si="32"/>
        <v/>
      </c>
    </row>
    <row r="174" spans="1:25" x14ac:dyDescent="0.2">
      <c r="A174" s="35"/>
      <c r="B174" s="21"/>
      <c r="C174" s="18"/>
      <c r="D174" s="21"/>
      <c r="E174" s="21"/>
      <c r="F174" s="21"/>
      <c r="G174" s="36"/>
      <c r="H174" s="36"/>
      <c r="I174" s="36"/>
      <c r="J174" s="37"/>
      <c r="K174" s="18"/>
      <c r="L174" s="28" t="str">
        <f t="shared" si="22"/>
        <v/>
      </c>
      <c r="M174" s="29" t="str">
        <f t="shared" si="23"/>
        <v/>
      </c>
      <c r="N174" s="29" t="str">
        <f t="shared" si="24"/>
        <v/>
      </c>
      <c r="O174" s="30" t="str">
        <f t="shared" si="25"/>
        <v/>
      </c>
      <c r="P174" s="28" t="str">
        <f>IF($C174="","",IFERROR(INDEX(CA_TG,MATCH(B174,DS_CA,0))-INDEX(CA_NGHI,MATCH(B174,DS_CA,0))-SUMIFS('3 Nhật ký dừng máy'!$I$6:$I$1005,'3 Nhật ký dừng máy'!$A$6:$A$1005,$A174,'3 Nhật ký dừng máy'!$B$6:$B$1005,$B174,'3 Nhật ký dừng máy'!$C$6:$C$1005,$C174,'3 Nhật ký dừng máy'!$K$6:$K$1005,"Có kế hoạch"),"?"))</f>
        <v/>
      </c>
      <c r="Q174" s="28" t="str">
        <f>IF($C174="","",SUMIFS('3 Nhật ký dừng máy'!$I$6:$I$1005,'3 Nhật ký dừng máy'!$A$6:$A$1005,$A174,'3 Nhật ký dừng máy'!$B$6:$B$1005,$B174,'3 Nhật ký dừng máy'!$C$6:$C$1005,$C174,'3 Nhật ký dừng máy'!$K$6:$K$1005,"Ngoài kế hoạch"))</f>
        <v/>
      </c>
      <c r="R174" s="30" t="str">
        <f>IF($C174="","",COUNTIFS('3 Nhật ký dừng máy'!$A$6:$A$1005,$A174,'3 Nhật ký dừng máy'!$B$6:$B$1005,$B174,'3 Nhật ký dừng máy'!$C$6:$C$1005,$C174,'3 Nhật ký dừng máy'!$K$6:$K$1005,"Ngoài kế hoạch"))</f>
        <v/>
      </c>
      <c r="S174" s="31" t="str">
        <f t="shared" si="26"/>
        <v/>
      </c>
      <c r="T174" s="31" t="str">
        <f t="shared" si="27"/>
        <v/>
      </c>
      <c r="U174" s="31" t="str">
        <f t="shared" si="28"/>
        <v/>
      </c>
      <c r="V174" s="32" t="str">
        <f t="shared" si="29"/>
        <v/>
      </c>
      <c r="W174" s="30" t="str">
        <f t="shared" si="30"/>
        <v/>
      </c>
      <c r="X174" s="33" t="str">
        <f t="shared" si="31"/>
        <v/>
      </c>
      <c r="Y174" s="34" t="str">
        <f t="shared" si="32"/>
        <v/>
      </c>
    </row>
    <row r="175" spans="1:25" x14ac:dyDescent="0.2">
      <c r="A175" s="35"/>
      <c r="B175" s="21"/>
      <c r="C175" s="18"/>
      <c r="D175" s="21"/>
      <c r="E175" s="21"/>
      <c r="F175" s="21"/>
      <c r="G175" s="36"/>
      <c r="H175" s="36"/>
      <c r="I175" s="36"/>
      <c r="J175" s="37"/>
      <c r="K175" s="18"/>
      <c r="L175" s="28" t="str">
        <f t="shared" si="22"/>
        <v/>
      </c>
      <c r="M175" s="29" t="str">
        <f t="shared" si="23"/>
        <v/>
      </c>
      <c r="N175" s="29" t="str">
        <f t="shared" si="24"/>
        <v/>
      </c>
      <c r="O175" s="30" t="str">
        <f t="shared" si="25"/>
        <v/>
      </c>
      <c r="P175" s="28" t="str">
        <f>IF($C175="","",IFERROR(INDEX(CA_TG,MATCH(B175,DS_CA,0))-INDEX(CA_NGHI,MATCH(B175,DS_CA,0))-SUMIFS('3 Nhật ký dừng máy'!$I$6:$I$1005,'3 Nhật ký dừng máy'!$A$6:$A$1005,$A175,'3 Nhật ký dừng máy'!$B$6:$B$1005,$B175,'3 Nhật ký dừng máy'!$C$6:$C$1005,$C175,'3 Nhật ký dừng máy'!$K$6:$K$1005,"Có kế hoạch"),"?"))</f>
        <v/>
      </c>
      <c r="Q175" s="28" t="str">
        <f>IF($C175="","",SUMIFS('3 Nhật ký dừng máy'!$I$6:$I$1005,'3 Nhật ký dừng máy'!$A$6:$A$1005,$A175,'3 Nhật ký dừng máy'!$B$6:$B$1005,$B175,'3 Nhật ký dừng máy'!$C$6:$C$1005,$C175,'3 Nhật ký dừng máy'!$K$6:$K$1005,"Ngoài kế hoạch"))</f>
        <v/>
      </c>
      <c r="R175" s="30" t="str">
        <f>IF($C175="","",COUNTIFS('3 Nhật ký dừng máy'!$A$6:$A$1005,$A175,'3 Nhật ký dừng máy'!$B$6:$B$1005,$B175,'3 Nhật ký dừng máy'!$C$6:$C$1005,$C175,'3 Nhật ký dừng máy'!$K$6:$K$1005,"Ngoài kế hoạch"))</f>
        <v/>
      </c>
      <c r="S175" s="31" t="str">
        <f t="shared" si="26"/>
        <v/>
      </c>
      <c r="T175" s="31" t="str">
        <f t="shared" si="27"/>
        <v/>
      </c>
      <c r="U175" s="31" t="str">
        <f t="shared" si="28"/>
        <v/>
      </c>
      <c r="V175" s="32" t="str">
        <f t="shared" si="29"/>
        <v/>
      </c>
      <c r="W175" s="30" t="str">
        <f t="shared" si="30"/>
        <v/>
      </c>
      <c r="X175" s="33" t="str">
        <f t="shared" si="31"/>
        <v/>
      </c>
      <c r="Y175" s="34" t="str">
        <f t="shared" si="32"/>
        <v/>
      </c>
    </row>
    <row r="176" spans="1:25" x14ac:dyDescent="0.2">
      <c r="A176" s="35"/>
      <c r="B176" s="21"/>
      <c r="C176" s="18"/>
      <c r="D176" s="21"/>
      <c r="E176" s="21"/>
      <c r="F176" s="21"/>
      <c r="G176" s="36"/>
      <c r="H176" s="36"/>
      <c r="I176" s="36"/>
      <c r="J176" s="37"/>
      <c r="K176" s="18"/>
      <c r="L176" s="28" t="str">
        <f t="shared" si="22"/>
        <v/>
      </c>
      <c r="M176" s="29" t="str">
        <f t="shared" si="23"/>
        <v/>
      </c>
      <c r="N176" s="29" t="str">
        <f t="shared" si="24"/>
        <v/>
      </c>
      <c r="O176" s="30" t="str">
        <f t="shared" si="25"/>
        <v/>
      </c>
      <c r="P176" s="28" t="str">
        <f>IF($C176="","",IFERROR(INDEX(CA_TG,MATCH(B176,DS_CA,0))-INDEX(CA_NGHI,MATCH(B176,DS_CA,0))-SUMIFS('3 Nhật ký dừng máy'!$I$6:$I$1005,'3 Nhật ký dừng máy'!$A$6:$A$1005,$A176,'3 Nhật ký dừng máy'!$B$6:$B$1005,$B176,'3 Nhật ký dừng máy'!$C$6:$C$1005,$C176,'3 Nhật ký dừng máy'!$K$6:$K$1005,"Có kế hoạch"),"?"))</f>
        <v/>
      </c>
      <c r="Q176" s="28" t="str">
        <f>IF($C176="","",SUMIFS('3 Nhật ký dừng máy'!$I$6:$I$1005,'3 Nhật ký dừng máy'!$A$6:$A$1005,$A176,'3 Nhật ký dừng máy'!$B$6:$B$1005,$B176,'3 Nhật ký dừng máy'!$C$6:$C$1005,$C176,'3 Nhật ký dừng máy'!$K$6:$K$1005,"Ngoài kế hoạch"))</f>
        <v/>
      </c>
      <c r="R176" s="30" t="str">
        <f>IF($C176="","",COUNTIFS('3 Nhật ký dừng máy'!$A$6:$A$1005,$A176,'3 Nhật ký dừng máy'!$B$6:$B$1005,$B176,'3 Nhật ký dừng máy'!$C$6:$C$1005,$C176,'3 Nhật ký dừng máy'!$K$6:$K$1005,"Ngoài kế hoạch"))</f>
        <v/>
      </c>
      <c r="S176" s="31" t="str">
        <f t="shared" si="26"/>
        <v/>
      </c>
      <c r="T176" s="31" t="str">
        <f t="shared" si="27"/>
        <v/>
      </c>
      <c r="U176" s="31" t="str">
        <f t="shared" si="28"/>
        <v/>
      </c>
      <c r="V176" s="32" t="str">
        <f t="shared" si="29"/>
        <v/>
      </c>
      <c r="W176" s="30" t="str">
        <f t="shared" si="30"/>
        <v/>
      </c>
      <c r="X176" s="33" t="str">
        <f t="shared" si="31"/>
        <v/>
      </c>
      <c r="Y176" s="34" t="str">
        <f t="shared" si="32"/>
        <v/>
      </c>
    </row>
    <row r="177" spans="1:25" x14ac:dyDescent="0.2">
      <c r="A177" s="35"/>
      <c r="B177" s="21"/>
      <c r="C177" s="18"/>
      <c r="D177" s="21"/>
      <c r="E177" s="21"/>
      <c r="F177" s="21"/>
      <c r="G177" s="36"/>
      <c r="H177" s="36"/>
      <c r="I177" s="36"/>
      <c r="J177" s="37"/>
      <c r="K177" s="18"/>
      <c r="L177" s="28" t="str">
        <f t="shared" si="22"/>
        <v/>
      </c>
      <c r="M177" s="29" t="str">
        <f t="shared" si="23"/>
        <v/>
      </c>
      <c r="N177" s="29" t="str">
        <f t="shared" si="24"/>
        <v/>
      </c>
      <c r="O177" s="30" t="str">
        <f t="shared" si="25"/>
        <v/>
      </c>
      <c r="P177" s="28" t="str">
        <f>IF($C177="","",IFERROR(INDEX(CA_TG,MATCH(B177,DS_CA,0))-INDEX(CA_NGHI,MATCH(B177,DS_CA,0))-SUMIFS('3 Nhật ký dừng máy'!$I$6:$I$1005,'3 Nhật ký dừng máy'!$A$6:$A$1005,$A177,'3 Nhật ký dừng máy'!$B$6:$B$1005,$B177,'3 Nhật ký dừng máy'!$C$6:$C$1005,$C177,'3 Nhật ký dừng máy'!$K$6:$K$1005,"Có kế hoạch"),"?"))</f>
        <v/>
      </c>
      <c r="Q177" s="28" t="str">
        <f>IF($C177="","",SUMIFS('3 Nhật ký dừng máy'!$I$6:$I$1005,'3 Nhật ký dừng máy'!$A$6:$A$1005,$A177,'3 Nhật ký dừng máy'!$B$6:$B$1005,$B177,'3 Nhật ký dừng máy'!$C$6:$C$1005,$C177,'3 Nhật ký dừng máy'!$K$6:$K$1005,"Ngoài kế hoạch"))</f>
        <v/>
      </c>
      <c r="R177" s="30" t="str">
        <f>IF($C177="","",COUNTIFS('3 Nhật ký dừng máy'!$A$6:$A$1005,$A177,'3 Nhật ký dừng máy'!$B$6:$B$1005,$B177,'3 Nhật ký dừng máy'!$C$6:$C$1005,$C177,'3 Nhật ký dừng máy'!$K$6:$K$1005,"Ngoài kế hoạch"))</f>
        <v/>
      </c>
      <c r="S177" s="31" t="str">
        <f t="shared" si="26"/>
        <v/>
      </c>
      <c r="T177" s="31" t="str">
        <f t="shared" si="27"/>
        <v/>
      </c>
      <c r="U177" s="31" t="str">
        <f t="shared" si="28"/>
        <v/>
      </c>
      <c r="V177" s="32" t="str">
        <f t="shared" si="29"/>
        <v/>
      </c>
      <c r="W177" s="30" t="str">
        <f t="shared" si="30"/>
        <v/>
      </c>
      <c r="X177" s="33" t="str">
        <f t="shared" si="31"/>
        <v/>
      </c>
      <c r="Y177" s="34" t="str">
        <f t="shared" si="32"/>
        <v/>
      </c>
    </row>
    <row r="178" spans="1:25" x14ac:dyDescent="0.2">
      <c r="A178" s="35"/>
      <c r="B178" s="21"/>
      <c r="C178" s="18"/>
      <c r="D178" s="21"/>
      <c r="E178" s="21"/>
      <c r="F178" s="21"/>
      <c r="G178" s="36"/>
      <c r="H178" s="36"/>
      <c r="I178" s="36"/>
      <c r="J178" s="37"/>
      <c r="K178" s="18"/>
      <c r="L178" s="28" t="str">
        <f t="shared" si="22"/>
        <v/>
      </c>
      <c r="M178" s="29" t="str">
        <f t="shared" si="23"/>
        <v/>
      </c>
      <c r="N178" s="29" t="str">
        <f t="shared" si="24"/>
        <v/>
      </c>
      <c r="O178" s="30" t="str">
        <f t="shared" si="25"/>
        <v/>
      </c>
      <c r="P178" s="28" t="str">
        <f>IF($C178="","",IFERROR(INDEX(CA_TG,MATCH(B178,DS_CA,0))-INDEX(CA_NGHI,MATCH(B178,DS_CA,0))-SUMIFS('3 Nhật ký dừng máy'!$I$6:$I$1005,'3 Nhật ký dừng máy'!$A$6:$A$1005,$A178,'3 Nhật ký dừng máy'!$B$6:$B$1005,$B178,'3 Nhật ký dừng máy'!$C$6:$C$1005,$C178,'3 Nhật ký dừng máy'!$K$6:$K$1005,"Có kế hoạch"),"?"))</f>
        <v/>
      </c>
      <c r="Q178" s="28" t="str">
        <f>IF($C178="","",SUMIFS('3 Nhật ký dừng máy'!$I$6:$I$1005,'3 Nhật ký dừng máy'!$A$6:$A$1005,$A178,'3 Nhật ký dừng máy'!$B$6:$B$1005,$B178,'3 Nhật ký dừng máy'!$C$6:$C$1005,$C178,'3 Nhật ký dừng máy'!$K$6:$K$1005,"Ngoài kế hoạch"))</f>
        <v/>
      </c>
      <c r="R178" s="30" t="str">
        <f>IF($C178="","",COUNTIFS('3 Nhật ký dừng máy'!$A$6:$A$1005,$A178,'3 Nhật ký dừng máy'!$B$6:$B$1005,$B178,'3 Nhật ký dừng máy'!$C$6:$C$1005,$C178,'3 Nhật ký dừng máy'!$K$6:$K$1005,"Ngoài kế hoạch"))</f>
        <v/>
      </c>
      <c r="S178" s="31" t="str">
        <f t="shared" si="26"/>
        <v/>
      </c>
      <c r="T178" s="31" t="str">
        <f t="shared" si="27"/>
        <v/>
      </c>
      <c r="U178" s="31" t="str">
        <f t="shared" si="28"/>
        <v/>
      </c>
      <c r="V178" s="32" t="str">
        <f t="shared" si="29"/>
        <v/>
      </c>
      <c r="W178" s="30" t="str">
        <f t="shared" si="30"/>
        <v/>
      </c>
      <c r="X178" s="33" t="str">
        <f t="shared" si="31"/>
        <v/>
      </c>
      <c r="Y178" s="34" t="str">
        <f t="shared" si="32"/>
        <v/>
      </c>
    </row>
    <row r="179" spans="1:25" x14ac:dyDescent="0.2">
      <c r="A179" s="35"/>
      <c r="B179" s="21"/>
      <c r="C179" s="18"/>
      <c r="D179" s="21"/>
      <c r="E179" s="21"/>
      <c r="F179" s="21"/>
      <c r="G179" s="36"/>
      <c r="H179" s="36"/>
      <c r="I179" s="36"/>
      <c r="J179" s="37"/>
      <c r="K179" s="18"/>
      <c r="L179" s="28" t="str">
        <f t="shared" si="22"/>
        <v/>
      </c>
      <c r="M179" s="29" t="str">
        <f t="shared" si="23"/>
        <v/>
      </c>
      <c r="N179" s="29" t="str">
        <f t="shared" si="24"/>
        <v/>
      </c>
      <c r="O179" s="30" t="str">
        <f t="shared" si="25"/>
        <v/>
      </c>
      <c r="P179" s="28" t="str">
        <f>IF($C179="","",IFERROR(INDEX(CA_TG,MATCH(B179,DS_CA,0))-INDEX(CA_NGHI,MATCH(B179,DS_CA,0))-SUMIFS('3 Nhật ký dừng máy'!$I$6:$I$1005,'3 Nhật ký dừng máy'!$A$6:$A$1005,$A179,'3 Nhật ký dừng máy'!$B$6:$B$1005,$B179,'3 Nhật ký dừng máy'!$C$6:$C$1005,$C179,'3 Nhật ký dừng máy'!$K$6:$K$1005,"Có kế hoạch"),"?"))</f>
        <v/>
      </c>
      <c r="Q179" s="28" t="str">
        <f>IF($C179="","",SUMIFS('3 Nhật ký dừng máy'!$I$6:$I$1005,'3 Nhật ký dừng máy'!$A$6:$A$1005,$A179,'3 Nhật ký dừng máy'!$B$6:$B$1005,$B179,'3 Nhật ký dừng máy'!$C$6:$C$1005,$C179,'3 Nhật ký dừng máy'!$K$6:$K$1005,"Ngoài kế hoạch"))</f>
        <v/>
      </c>
      <c r="R179" s="30" t="str">
        <f>IF($C179="","",COUNTIFS('3 Nhật ký dừng máy'!$A$6:$A$1005,$A179,'3 Nhật ký dừng máy'!$B$6:$B$1005,$B179,'3 Nhật ký dừng máy'!$C$6:$C$1005,$C179,'3 Nhật ký dừng máy'!$K$6:$K$1005,"Ngoài kế hoạch"))</f>
        <v/>
      </c>
      <c r="S179" s="31" t="str">
        <f t="shared" si="26"/>
        <v/>
      </c>
      <c r="T179" s="31" t="str">
        <f t="shared" si="27"/>
        <v/>
      </c>
      <c r="U179" s="31" t="str">
        <f t="shared" si="28"/>
        <v/>
      </c>
      <c r="V179" s="32" t="str">
        <f t="shared" si="29"/>
        <v/>
      </c>
      <c r="W179" s="30" t="str">
        <f t="shared" si="30"/>
        <v/>
      </c>
      <c r="X179" s="33" t="str">
        <f t="shared" si="31"/>
        <v/>
      </c>
      <c r="Y179" s="34" t="str">
        <f t="shared" si="32"/>
        <v/>
      </c>
    </row>
    <row r="180" spans="1:25" x14ac:dyDescent="0.2">
      <c r="A180" s="35"/>
      <c r="B180" s="21"/>
      <c r="C180" s="18"/>
      <c r="D180" s="21"/>
      <c r="E180" s="21"/>
      <c r="F180" s="21"/>
      <c r="G180" s="36"/>
      <c r="H180" s="36"/>
      <c r="I180" s="36"/>
      <c r="J180" s="37"/>
      <c r="K180" s="18"/>
      <c r="L180" s="28" t="str">
        <f t="shared" si="22"/>
        <v/>
      </c>
      <c r="M180" s="29" t="str">
        <f t="shared" si="23"/>
        <v/>
      </c>
      <c r="N180" s="29" t="str">
        <f t="shared" si="24"/>
        <v/>
      </c>
      <c r="O180" s="30" t="str">
        <f t="shared" si="25"/>
        <v/>
      </c>
      <c r="P180" s="28" t="str">
        <f>IF($C180="","",IFERROR(INDEX(CA_TG,MATCH(B180,DS_CA,0))-INDEX(CA_NGHI,MATCH(B180,DS_CA,0))-SUMIFS('3 Nhật ký dừng máy'!$I$6:$I$1005,'3 Nhật ký dừng máy'!$A$6:$A$1005,$A180,'3 Nhật ký dừng máy'!$B$6:$B$1005,$B180,'3 Nhật ký dừng máy'!$C$6:$C$1005,$C180,'3 Nhật ký dừng máy'!$K$6:$K$1005,"Có kế hoạch"),"?"))</f>
        <v/>
      </c>
      <c r="Q180" s="28" t="str">
        <f>IF($C180="","",SUMIFS('3 Nhật ký dừng máy'!$I$6:$I$1005,'3 Nhật ký dừng máy'!$A$6:$A$1005,$A180,'3 Nhật ký dừng máy'!$B$6:$B$1005,$B180,'3 Nhật ký dừng máy'!$C$6:$C$1005,$C180,'3 Nhật ký dừng máy'!$K$6:$K$1005,"Ngoài kế hoạch"))</f>
        <v/>
      </c>
      <c r="R180" s="30" t="str">
        <f>IF($C180="","",COUNTIFS('3 Nhật ký dừng máy'!$A$6:$A$1005,$A180,'3 Nhật ký dừng máy'!$B$6:$B$1005,$B180,'3 Nhật ký dừng máy'!$C$6:$C$1005,$C180,'3 Nhật ký dừng máy'!$K$6:$K$1005,"Ngoài kế hoạch"))</f>
        <v/>
      </c>
      <c r="S180" s="31" t="str">
        <f t="shared" si="26"/>
        <v/>
      </c>
      <c r="T180" s="31" t="str">
        <f t="shared" si="27"/>
        <v/>
      </c>
      <c r="U180" s="31" t="str">
        <f t="shared" si="28"/>
        <v/>
      </c>
      <c r="V180" s="32" t="str">
        <f t="shared" si="29"/>
        <v/>
      </c>
      <c r="W180" s="30" t="str">
        <f t="shared" si="30"/>
        <v/>
      </c>
      <c r="X180" s="33" t="str">
        <f t="shared" si="31"/>
        <v/>
      </c>
      <c r="Y180" s="34" t="str">
        <f t="shared" si="32"/>
        <v/>
      </c>
    </row>
    <row r="181" spans="1:25" x14ac:dyDescent="0.2">
      <c r="A181" s="35"/>
      <c r="B181" s="21"/>
      <c r="C181" s="18"/>
      <c r="D181" s="21"/>
      <c r="E181" s="21"/>
      <c r="F181" s="21"/>
      <c r="G181" s="36"/>
      <c r="H181" s="36"/>
      <c r="I181" s="36"/>
      <c r="J181" s="37"/>
      <c r="K181" s="18"/>
      <c r="L181" s="28" t="str">
        <f t="shared" si="22"/>
        <v/>
      </c>
      <c r="M181" s="29" t="str">
        <f t="shared" si="23"/>
        <v/>
      </c>
      <c r="N181" s="29" t="str">
        <f t="shared" si="24"/>
        <v/>
      </c>
      <c r="O181" s="30" t="str">
        <f t="shared" si="25"/>
        <v/>
      </c>
      <c r="P181" s="28" t="str">
        <f>IF($C181="","",IFERROR(INDEX(CA_TG,MATCH(B181,DS_CA,0))-INDEX(CA_NGHI,MATCH(B181,DS_CA,0))-SUMIFS('3 Nhật ký dừng máy'!$I$6:$I$1005,'3 Nhật ký dừng máy'!$A$6:$A$1005,$A181,'3 Nhật ký dừng máy'!$B$6:$B$1005,$B181,'3 Nhật ký dừng máy'!$C$6:$C$1005,$C181,'3 Nhật ký dừng máy'!$K$6:$K$1005,"Có kế hoạch"),"?"))</f>
        <v/>
      </c>
      <c r="Q181" s="28" t="str">
        <f>IF($C181="","",SUMIFS('3 Nhật ký dừng máy'!$I$6:$I$1005,'3 Nhật ký dừng máy'!$A$6:$A$1005,$A181,'3 Nhật ký dừng máy'!$B$6:$B$1005,$B181,'3 Nhật ký dừng máy'!$C$6:$C$1005,$C181,'3 Nhật ký dừng máy'!$K$6:$K$1005,"Ngoài kế hoạch"))</f>
        <v/>
      </c>
      <c r="R181" s="30" t="str">
        <f>IF($C181="","",COUNTIFS('3 Nhật ký dừng máy'!$A$6:$A$1005,$A181,'3 Nhật ký dừng máy'!$B$6:$B$1005,$B181,'3 Nhật ký dừng máy'!$C$6:$C$1005,$C181,'3 Nhật ký dừng máy'!$K$6:$K$1005,"Ngoài kế hoạch"))</f>
        <v/>
      </c>
      <c r="S181" s="31" t="str">
        <f t="shared" si="26"/>
        <v/>
      </c>
      <c r="T181" s="31" t="str">
        <f t="shared" si="27"/>
        <v/>
      </c>
      <c r="U181" s="31" t="str">
        <f t="shared" si="28"/>
        <v/>
      </c>
      <c r="V181" s="32" t="str">
        <f t="shared" si="29"/>
        <v/>
      </c>
      <c r="W181" s="30" t="str">
        <f t="shared" si="30"/>
        <v/>
      </c>
      <c r="X181" s="33" t="str">
        <f t="shared" si="31"/>
        <v/>
      </c>
      <c r="Y181" s="34" t="str">
        <f t="shared" si="32"/>
        <v/>
      </c>
    </row>
    <row r="182" spans="1:25" x14ac:dyDescent="0.2">
      <c r="A182" s="35"/>
      <c r="B182" s="21"/>
      <c r="C182" s="18"/>
      <c r="D182" s="21"/>
      <c r="E182" s="21"/>
      <c r="F182" s="21"/>
      <c r="G182" s="36"/>
      <c r="H182" s="36"/>
      <c r="I182" s="36"/>
      <c r="J182" s="37"/>
      <c r="K182" s="18"/>
      <c r="L182" s="28" t="str">
        <f t="shared" si="22"/>
        <v/>
      </c>
      <c r="M182" s="29" t="str">
        <f t="shared" si="23"/>
        <v/>
      </c>
      <c r="N182" s="29" t="str">
        <f t="shared" si="24"/>
        <v/>
      </c>
      <c r="O182" s="30" t="str">
        <f t="shared" si="25"/>
        <v/>
      </c>
      <c r="P182" s="28" t="str">
        <f>IF($C182="","",IFERROR(INDEX(CA_TG,MATCH(B182,DS_CA,0))-INDEX(CA_NGHI,MATCH(B182,DS_CA,0))-SUMIFS('3 Nhật ký dừng máy'!$I$6:$I$1005,'3 Nhật ký dừng máy'!$A$6:$A$1005,$A182,'3 Nhật ký dừng máy'!$B$6:$B$1005,$B182,'3 Nhật ký dừng máy'!$C$6:$C$1005,$C182,'3 Nhật ký dừng máy'!$K$6:$K$1005,"Có kế hoạch"),"?"))</f>
        <v/>
      </c>
      <c r="Q182" s="28" t="str">
        <f>IF($C182="","",SUMIFS('3 Nhật ký dừng máy'!$I$6:$I$1005,'3 Nhật ký dừng máy'!$A$6:$A$1005,$A182,'3 Nhật ký dừng máy'!$B$6:$B$1005,$B182,'3 Nhật ký dừng máy'!$C$6:$C$1005,$C182,'3 Nhật ký dừng máy'!$K$6:$K$1005,"Ngoài kế hoạch"))</f>
        <v/>
      </c>
      <c r="R182" s="30" t="str">
        <f>IF($C182="","",COUNTIFS('3 Nhật ký dừng máy'!$A$6:$A$1005,$A182,'3 Nhật ký dừng máy'!$B$6:$B$1005,$B182,'3 Nhật ký dừng máy'!$C$6:$C$1005,$C182,'3 Nhật ký dừng máy'!$K$6:$K$1005,"Ngoài kế hoạch"))</f>
        <v/>
      </c>
      <c r="S182" s="31" t="str">
        <f t="shared" si="26"/>
        <v/>
      </c>
      <c r="T182" s="31" t="str">
        <f t="shared" si="27"/>
        <v/>
      </c>
      <c r="U182" s="31" t="str">
        <f t="shared" si="28"/>
        <v/>
      </c>
      <c r="V182" s="32" t="str">
        <f t="shared" si="29"/>
        <v/>
      </c>
      <c r="W182" s="30" t="str">
        <f t="shared" si="30"/>
        <v/>
      </c>
      <c r="X182" s="33" t="str">
        <f t="shared" si="31"/>
        <v/>
      </c>
      <c r="Y182" s="34" t="str">
        <f t="shared" si="32"/>
        <v/>
      </c>
    </row>
    <row r="183" spans="1:25" x14ac:dyDescent="0.2">
      <c r="A183" s="35"/>
      <c r="B183" s="21"/>
      <c r="C183" s="18"/>
      <c r="D183" s="21"/>
      <c r="E183" s="21"/>
      <c r="F183" s="21"/>
      <c r="G183" s="36"/>
      <c r="H183" s="36"/>
      <c r="I183" s="36"/>
      <c r="J183" s="37"/>
      <c r="K183" s="18"/>
      <c r="L183" s="28" t="str">
        <f t="shared" si="22"/>
        <v/>
      </c>
      <c r="M183" s="29" t="str">
        <f t="shared" si="23"/>
        <v/>
      </c>
      <c r="N183" s="29" t="str">
        <f t="shared" si="24"/>
        <v/>
      </c>
      <c r="O183" s="30" t="str">
        <f t="shared" si="25"/>
        <v/>
      </c>
      <c r="P183" s="28" t="str">
        <f>IF($C183="","",IFERROR(INDEX(CA_TG,MATCH(B183,DS_CA,0))-INDEX(CA_NGHI,MATCH(B183,DS_CA,0))-SUMIFS('3 Nhật ký dừng máy'!$I$6:$I$1005,'3 Nhật ký dừng máy'!$A$6:$A$1005,$A183,'3 Nhật ký dừng máy'!$B$6:$B$1005,$B183,'3 Nhật ký dừng máy'!$C$6:$C$1005,$C183,'3 Nhật ký dừng máy'!$K$6:$K$1005,"Có kế hoạch"),"?"))</f>
        <v/>
      </c>
      <c r="Q183" s="28" t="str">
        <f>IF($C183="","",SUMIFS('3 Nhật ký dừng máy'!$I$6:$I$1005,'3 Nhật ký dừng máy'!$A$6:$A$1005,$A183,'3 Nhật ký dừng máy'!$B$6:$B$1005,$B183,'3 Nhật ký dừng máy'!$C$6:$C$1005,$C183,'3 Nhật ký dừng máy'!$K$6:$K$1005,"Ngoài kế hoạch"))</f>
        <v/>
      </c>
      <c r="R183" s="30" t="str">
        <f>IF($C183="","",COUNTIFS('3 Nhật ký dừng máy'!$A$6:$A$1005,$A183,'3 Nhật ký dừng máy'!$B$6:$B$1005,$B183,'3 Nhật ký dừng máy'!$C$6:$C$1005,$C183,'3 Nhật ký dừng máy'!$K$6:$K$1005,"Ngoài kế hoạch"))</f>
        <v/>
      </c>
      <c r="S183" s="31" t="str">
        <f t="shared" si="26"/>
        <v/>
      </c>
      <c r="T183" s="31" t="str">
        <f t="shared" si="27"/>
        <v/>
      </c>
      <c r="U183" s="31" t="str">
        <f t="shared" si="28"/>
        <v/>
      </c>
      <c r="V183" s="32" t="str">
        <f t="shared" si="29"/>
        <v/>
      </c>
      <c r="W183" s="30" t="str">
        <f t="shared" si="30"/>
        <v/>
      </c>
      <c r="X183" s="33" t="str">
        <f t="shared" si="31"/>
        <v/>
      </c>
      <c r="Y183" s="34" t="str">
        <f t="shared" si="32"/>
        <v/>
      </c>
    </row>
    <row r="184" spans="1:25" x14ac:dyDescent="0.2">
      <c r="A184" s="35"/>
      <c r="B184" s="21"/>
      <c r="C184" s="18"/>
      <c r="D184" s="21"/>
      <c r="E184" s="21"/>
      <c r="F184" s="21"/>
      <c r="G184" s="36"/>
      <c r="H184" s="36"/>
      <c r="I184" s="36"/>
      <c r="J184" s="37"/>
      <c r="K184" s="18"/>
      <c r="L184" s="28" t="str">
        <f t="shared" si="22"/>
        <v/>
      </c>
      <c r="M184" s="29" t="str">
        <f t="shared" si="23"/>
        <v/>
      </c>
      <c r="N184" s="29" t="str">
        <f t="shared" si="24"/>
        <v/>
      </c>
      <c r="O184" s="30" t="str">
        <f t="shared" si="25"/>
        <v/>
      </c>
      <c r="P184" s="28" t="str">
        <f>IF($C184="","",IFERROR(INDEX(CA_TG,MATCH(B184,DS_CA,0))-INDEX(CA_NGHI,MATCH(B184,DS_CA,0))-SUMIFS('3 Nhật ký dừng máy'!$I$6:$I$1005,'3 Nhật ký dừng máy'!$A$6:$A$1005,$A184,'3 Nhật ký dừng máy'!$B$6:$B$1005,$B184,'3 Nhật ký dừng máy'!$C$6:$C$1005,$C184,'3 Nhật ký dừng máy'!$K$6:$K$1005,"Có kế hoạch"),"?"))</f>
        <v/>
      </c>
      <c r="Q184" s="28" t="str">
        <f>IF($C184="","",SUMIFS('3 Nhật ký dừng máy'!$I$6:$I$1005,'3 Nhật ký dừng máy'!$A$6:$A$1005,$A184,'3 Nhật ký dừng máy'!$B$6:$B$1005,$B184,'3 Nhật ký dừng máy'!$C$6:$C$1005,$C184,'3 Nhật ký dừng máy'!$K$6:$K$1005,"Ngoài kế hoạch"))</f>
        <v/>
      </c>
      <c r="R184" s="30" t="str">
        <f>IF($C184="","",COUNTIFS('3 Nhật ký dừng máy'!$A$6:$A$1005,$A184,'3 Nhật ký dừng máy'!$B$6:$B$1005,$B184,'3 Nhật ký dừng máy'!$C$6:$C$1005,$C184,'3 Nhật ký dừng máy'!$K$6:$K$1005,"Ngoài kế hoạch"))</f>
        <v/>
      </c>
      <c r="S184" s="31" t="str">
        <f t="shared" si="26"/>
        <v/>
      </c>
      <c r="T184" s="31" t="str">
        <f t="shared" si="27"/>
        <v/>
      </c>
      <c r="U184" s="31" t="str">
        <f t="shared" si="28"/>
        <v/>
      </c>
      <c r="V184" s="32" t="str">
        <f t="shared" si="29"/>
        <v/>
      </c>
      <c r="W184" s="30" t="str">
        <f t="shared" si="30"/>
        <v/>
      </c>
      <c r="X184" s="33" t="str">
        <f t="shared" si="31"/>
        <v/>
      </c>
      <c r="Y184" s="34" t="str">
        <f t="shared" si="32"/>
        <v/>
      </c>
    </row>
    <row r="185" spans="1:25" x14ac:dyDescent="0.2">
      <c r="A185" s="35"/>
      <c r="B185" s="21"/>
      <c r="C185" s="18"/>
      <c r="D185" s="21"/>
      <c r="E185" s="21"/>
      <c r="F185" s="21"/>
      <c r="G185" s="36"/>
      <c r="H185" s="36"/>
      <c r="I185" s="36"/>
      <c r="J185" s="37"/>
      <c r="K185" s="18"/>
      <c r="L185" s="28" t="str">
        <f t="shared" si="22"/>
        <v/>
      </c>
      <c r="M185" s="29" t="str">
        <f t="shared" si="23"/>
        <v/>
      </c>
      <c r="N185" s="29" t="str">
        <f t="shared" si="24"/>
        <v/>
      </c>
      <c r="O185" s="30" t="str">
        <f t="shared" si="25"/>
        <v/>
      </c>
      <c r="P185" s="28" t="str">
        <f>IF($C185="","",IFERROR(INDEX(CA_TG,MATCH(B185,DS_CA,0))-INDEX(CA_NGHI,MATCH(B185,DS_CA,0))-SUMIFS('3 Nhật ký dừng máy'!$I$6:$I$1005,'3 Nhật ký dừng máy'!$A$6:$A$1005,$A185,'3 Nhật ký dừng máy'!$B$6:$B$1005,$B185,'3 Nhật ký dừng máy'!$C$6:$C$1005,$C185,'3 Nhật ký dừng máy'!$K$6:$K$1005,"Có kế hoạch"),"?"))</f>
        <v/>
      </c>
      <c r="Q185" s="28" t="str">
        <f>IF($C185="","",SUMIFS('3 Nhật ký dừng máy'!$I$6:$I$1005,'3 Nhật ký dừng máy'!$A$6:$A$1005,$A185,'3 Nhật ký dừng máy'!$B$6:$B$1005,$B185,'3 Nhật ký dừng máy'!$C$6:$C$1005,$C185,'3 Nhật ký dừng máy'!$K$6:$K$1005,"Ngoài kế hoạch"))</f>
        <v/>
      </c>
      <c r="R185" s="30" t="str">
        <f>IF($C185="","",COUNTIFS('3 Nhật ký dừng máy'!$A$6:$A$1005,$A185,'3 Nhật ký dừng máy'!$B$6:$B$1005,$B185,'3 Nhật ký dừng máy'!$C$6:$C$1005,$C185,'3 Nhật ký dừng máy'!$K$6:$K$1005,"Ngoài kế hoạch"))</f>
        <v/>
      </c>
      <c r="S185" s="31" t="str">
        <f t="shared" si="26"/>
        <v/>
      </c>
      <c r="T185" s="31" t="str">
        <f t="shared" si="27"/>
        <v/>
      </c>
      <c r="U185" s="31" t="str">
        <f t="shared" si="28"/>
        <v/>
      </c>
      <c r="V185" s="32" t="str">
        <f t="shared" si="29"/>
        <v/>
      </c>
      <c r="W185" s="30" t="str">
        <f t="shared" si="30"/>
        <v/>
      </c>
      <c r="X185" s="33" t="str">
        <f t="shared" si="31"/>
        <v/>
      </c>
      <c r="Y185" s="34" t="str">
        <f t="shared" si="32"/>
        <v/>
      </c>
    </row>
    <row r="186" spans="1:25" x14ac:dyDescent="0.2">
      <c r="A186" s="35"/>
      <c r="B186" s="21"/>
      <c r="C186" s="18"/>
      <c r="D186" s="21"/>
      <c r="E186" s="21"/>
      <c r="F186" s="21"/>
      <c r="G186" s="36"/>
      <c r="H186" s="36"/>
      <c r="I186" s="36"/>
      <c r="J186" s="37"/>
      <c r="K186" s="18"/>
      <c r="L186" s="28" t="str">
        <f t="shared" si="22"/>
        <v/>
      </c>
      <c r="M186" s="29" t="str">
        <f t="shared" si="23"/>
        <v/>
      </c>
      <c r="N186" s="29" t="str">
        <f t="shared" si="24"/>
        <v/>
      </c>
      <c r="O186" s="30" t="str">
        <f t="shared" si="25"/>
        <v/>
      </c>
      <c r="P186" s="28" t="str">
        <f>IF($C186="","",IFERROR(INDEX(CA_TG,MATCH(B186,DS_CA,0))-INDEX(CA_NGHI,MATCH(B186,DS_CA,0))-SUMIFS('3 Nhật ký dừng máy'!$I$6:$I$1005,'3 Nhật ký dừng máy'!$A$6:$A$1005,$A186,'3 Nhật ký dừng máy'!$B$6:$B$1005,$B186,'3 Nhật ký dừng máy'!$C$6:$C$1005,$C186,'3 Nhật ký dừng máy'!$K$6:$K$1005,"Có kế hoạch"),"?"))</f>
        <v/>
      </c>
      <c r="Q186" s="28" t="str">
        <f>IF($C186="","",SUMIFS('3 Nhật ký dừng máy'!$I$6:$I$1005,'3 Nhật ký dừng máy'!$A$6:$A$1005,$A186,'3 Nhật ký dừng máy'!$B$6:$B$1005,$B186,'3 Nhật ký dừng máy'!$C$6:$C$1005,$C186,'3 Nhật ký dừng máy'!$K$6:$K$1005,"Ngoài kế hoạch"))</f>
        <v/>
      </c>
      <c r="R186" s="30" t="str">
        <f>IF($C186="","",COUNTIFS('3 Nhật ký dừng máy'!$A$6:$A$1005,$A186,'3 Nhật ký dừng máy'!$B$6:$B$1005,$B186,'3 Nhật ký dừng máy'!$C$6:$C$1005,$C186,'3 Nhật ký dừng máy'!$K$6:$K$1005,"Ngoài kế hoạch"))</f>
        <v/>
      </c>
      <c r="S186" s="31" t="str">
        <f t="shared" si="26"/>
        <v/>
      </c>
      <c r="T186" s="31" t="str">
        <f t="shared" si="27"/>
        <v/>
      </c>
      <c r="U186" s="31" t="str">
        <f t="shared" si="28"/>
        <v/>
      </c>
      <c r="V186" s="32" t="str">
        <f t="shared" si="29"/>
        <v/>
      </c>
      <c r="W186" s="30" t="str">
        <f t="shared" si="30"/>
        <v/>
      </c>
      <c r="X186" s="33" t="str">
        <f t="shared" si="31"/>
        <v/>
      </c>
      <c r="Y186" s="34" t="str">
        <f t="shared" si="32"/>
        <v/>
      </c>
    </row>
    <row r="187" spans="1:25" x14ac:dyDescent="0.2">
      <c r="A187" s="35"/>
      <c r="B187" s="21"/>
      <c r="C187" s="18"/>
      <c r="D187" s="21"/>
      <c r="E187" s="21"/>
      <c r="F187" s="21"/>
      <c r="G187" s="36"/>
      <c r="H187" s="36"/>
      <c r="I187" s="36"/>
      <c r="J187" s="37"/>
      <c r="K187" s="18"/>
      <c r="L187" s="28" t="str">
        <f t="shared" si="22"/>
        <v/>
      </c>
      <c r="M187" s="29" t="str">
        <f t="shared" si="23"/>
        <v/>
      </c>
      <c r="N187" s="29" t="str">
        <f t="shared" si="24"/>
        <v/>
      </c>
      <c r="O187" s="30" t="str">
        <f t="shared" si="25"/>
        <v/>
      </c>
      <c r="P187" s="28" t="str">
        <f>IF($C187="","",IFERROR(INDEX(CA_TG,MATCH(B187,DS_CA,0))-INDEX(CA_NGHI,MATCH(B187,DS_CA,0))-SUMIFS('3 Nhật ký dừng máy'!$I$6:$I$1005,'3 Nhật ký dừng máy'!$A$6:$A$1005,$A187,'3 Nhật ký dừng máy'!$B$6:$B$1005,$B187,'3 Nhật ký dừng máy'!$C$6:$C$1005,$C187,'3 Nhật ký dừng máy'!$K$6:$K$1005,"Có kế hoạch"),"?"))</f>
        <v/>
      </c>
      <c r="Q187" s="28" t="str">
        <f>IF($C187="","",SUMIFS('3 Nhật ký dừng máy'!$I$6:$I$1005,'3 Nhật ký dừng máy'!$A$6:$A$1005,$A187,'3 Nhật ký dừng máy'!$B$6:$B$1005,$B187,'3 Nhật ký dừng máy'!$C$6:$C$1005,$C187,'3 Nhật ký dừng máy'!$K$6:$K$1005,"Ngoài kế hoạch"))</f>
        <v/>
      </c>
      <c r="R187" s="30" t="str">
        <f>IF($C187="","",COUNTIFS('3 Nhật ký dừng máy'!$A$6:$A$1005,$A187,'3 Nhật ký dừng máy'!$B$6:$B$1005,$B187,'3 Nhật ký dừng máy'!$C$6:$C$1005,$C187,'3 Nhật ký dừng máy'!$K$6:$K$1005,"Ngoài kế hoạch"))</f>
        <v/>
      </c>
      <c r="S187" s="31" t="str">
        <f t="shared" si="26"/>
        <v/>
      </c>
      <c r="T187" s="31" t="str">
        <f t="shared" si="27"/>
        <v/>
      </c>
      <c r="U187" s="31" t="str">
        <f t="shared" si="28"/>
        <v/>
      </c>
      <c r="V187" s="32" t="str">
        <f t="shared" si="29"/>
        <v/>
      </c>
      <c r="W187" s="30" t="str">
        <f t="shared" si="30"/>
        <v/>
      </c>
      <c r="X187" s="33" t="str">
        <f t="shared" si="31"/>
        <v/>
      </c>
      <c r="Y187" s="34" t="str">
        <f t="shared" si="32"/>
        <v/>
      </c>
    </row>
    <row r="188" spans="1:25" x14ac:dyDescent="0.2">
      <c r="A188" s="35"/>
      <c r="B188" s="21"/>
      <c r="C188" s="18"/>
      <c r="D188" s="21"/>
      <c r="E188" s="21"/>
      <c r="F188" s="21"/>
      <c r="G188" s="36"/>
      <c r="H188" s="36"/>
      <c r="I188" s="36"/>
      <c r="J188" s="37"/>
      <c r="K188" s="18"/>
      <c r="L188" s="28" t="str">
        <f t="shared" si="22"/>
        <v/>
      </c>
      <c r="M188" s="29" t="str">
        <f t="shared" si="23"/>
        <v/>
      </c>
      <c r="N188" s="29" t="str">
        <f t="shared" si="24"/>
        <v/>
      </c>
      <c r="O188" s="30" t="str">
        <f t="shared" si="25"/>
        <v/>
      </c>
      <c r="P188" s="28" t="str">
        <f>IF($C188="","",IFERROR(INDEX(CA_TG,MATCH(B188,DS_CA,0))-INDEX(CA_NGHI,MATCH(B188,DS_CA,0))-SUMIFS('3 Nhật ký dừng máy'!$I$6:$I$1005,'3 Nhật ký dừng máy'!$A$6:$A$1005,$A188,'3 Nhật ký dừng máy'!$B$6:$B$1005,$B188,'3 Nhật ký dừng máy'!$C$6:$C$1005,$C188,'3 Nhật ký dừng máy'!$K$6:$K$1005,"Có kế hoạch"),"?"))</f>
        <v/>
      </c>
      <c r="Q188" s="28" t="str">
        <f>IF($C188="","",SUMIFS('3 Nhật ký dừng máy'!$I$6:$I$1005,'3 Nhật ký dừng máy'!$A$6:$A$1005,$A188,'3 Nhật ký dừng máy'!$B$6:$B$1005,$B188,'3 Nhật ký dừng máy'!$C$6:$C$1005,$C188,'3 Nhật ký dừng máy'!$K$6:$K$1005,"Ngoài kế hoạch"))</f>
        <v/>
      </c>
      <c r="R188" s="30" t="str">
        <f>IF($C188="","",COUNTIFS('3 Nhật ký dừng máy'!$A$6:$A$1005,$A188,'3 Nhật ký dừng máy'!$B$6:$B$1005,$B188,'3 Nhật ký dừng máy'!$C$6:$C$1005,$C188,'3 Nhật ký dừng máy'!$K$6:$K$1005,"Ngoài kế hoạch"))</f>
        <v/>
      </c>
      <c r="S188" s="31" t="str">
        <f t="shared" si="26"/>
        <v/>
      </c>
      <c r="T188" s="31" t="str">
        <f t="shared" si="27"/>
        <v/>
      </c>
      <c r="U188" s="31" t="str">
        <f t="shared" si="28"/>
        <v/>
      </c>
      <c r="V188" s="32" t="str">
        <f t="shared" si="29"/>
        <v/>
      </c>
      <c r="W188" s="30" t="str">
        <f t="shared" si="30"/>
        <v/>
      </c>
      <c r="X188" s="33" t="str">
        <f t="shared" si="31"/>
        <v/>
      </c>
      <c r="Y188" s="34" t="str">
        <f t="shared" si="32"/>
        <v/>
      </c>
    </row>
    <row r="189" spans="1:25" x14ac:dyDescent="0.2">
      <c r="A189" s="35"/>
      <c r="B189" s="21"/>
      <c r="C189" s="18"/>
      <c r="D189" s="21"/>
      <c r="E189" s="21"/>
      <c r="F189" s="21"/>
      <c r="G189" s="36"/>
      <c r="H189" s="36"/>
      <c r="I189" s="36"/>
      <c r="J189" s="37"/>
      <c r="K189" s="18"/>
      <c r="L189" s="28" t="str">
        <f t="shared" si="22"/>
        <v/>
      </c>
      <c r="M189" s="29" t="str">
        <f t="shared" si="23"/>
        <v/>
      </c>
      <c r="N189" s="29" t="str">
        <f t="shared" si="24"/>
        <v/>
      </c>
      <c r="O189" s="30" t="str">
        <f t="shared" si="25"/>
        <v/>
      </c>
      <c r="P189" s="28" t="str">
        <f>IF($C189="","",IFERROR(INDEX(CA_TG,MATCH(B189,DS_CA,0))-INDEX(CA_NGHI,MATCH(B189,DS_CA,0))-SUMIFS('3 Nhật ký dừng máy'!$I$6:$I$1005,'3 Nhật ký dừng máy'!$A$6:$A$1005,$A189,'3 Nhật ký dừng máy'!$B$6:$B$1005,$B189,'3 Nhật ký dừng máy'!$C$6:$C$1005,$C189,'3 Nhật ký dừng máy'!$K$6:$K$1005,"Có kế hoạch"),"?"))</f>
        <v/>
      </c>
      <c r="Q189" s="28" t="str">
        <f>IF($C189="","",SUMIFS('3 Nhật ký dừng máy'!$I$6:$I$1005,'3 Nhật ký dừng máy'!$A$6:$A$1005,$A189,'3 Nhật ký dừng máy'!$B$6:$B$1005,$B189,'3 Nhật ký dừng máy'!$C$6:$C$1005,$C189,'3 Nhật ký dừng máy'!$K$6:$K$1005,"Ngoài kế hoạch"))</f>
        <v/>
      </c>
      <c r="R189" s="30" t="str">
        <f>IF($C189="","",COUNTIFS('3 Nhật ký dừng máy'!$A$6:$A$1005,$A189,'3 Nhật ký dừng máy'!$B$6:$B$1005,$B189,'3 Nhật ký dừng máy'!$C$6:$C$1005,$C189,'3 Nhật ký dừng máy'!$K$6:$K$1005,"Ngoài kế hoạch"))</f>
        <v/>
      </c>
      <c r="S189" s="31" t="str">
        <f t="shared" si="26"/>
        <v/>
      </c>
      <c r="T189" s="31" t="str">
        <f t="shared" si="27"/>
        <v/>
      </c>
      <c r="U189" s="31" t="str">
        <f t="shared" si="28"/>
        <v/>
      </c>
      <c r="V189" s="32" t="str">
        <f t="shared" si="29"/>
        <v/>
      </c>
      <c r="W189" s="30" t="str">
        <f t="shared" si="30"/>
        <v/>
      </c>
      <c r="X189" s="33" t="str">
        <f t="shared" si="31"/>
        <v/>
      </c>
      <c r="Y189" s="34" t="str">
        <f t="shared" si="32"/>
        <v/>
      </c>
    </row>
    <row r="190" spans="1:25" x14ac:dyDescent="0.2">
      <c r="A190" s="35"/>
      <c r="B190" s="21"/>
      <c r="C190" s="18"/>
      <c r="D190" s="21"/>
      <c r="E190" s="21"/>
      <c r="F190" s="21"/>
      <c r="G190" s="36"/>
      <c r="H190" s="36"/>
      <c r="I190" s="36"/>
      <c r="J190" s="37"/>
      <c r="K190" s="18"/>
      <c r="L190" s="28" t="str">
        <f t="shared" si="22"/>
        <v/>
      </c>
      <c r="M190" s="29" t="str">
        <f t="shared" si="23"/>
        <v/>
      </c>
      <c r="N190" s="29" t="str">
        <f t="shared" si="24"/>
        <v/>
      </c>
      <c r="O190" s="30" t="str">
        <f t="shared" si="25"/>
        <v/>
      </c>
      <c r="P190" s="28" t="str">
        <f>IF($C190="","",IFERROR(INDEX(CA_TG,MATCH(B190,DS_CA,0))-INDEX(CA_NGHI,MATCH(B190,DS_CA,0))-SUMIFS('3 Nhật ký dừng máy'!$I$6:$I$1005,'3 Nhật ký dừng máy'!$A$6:$A$1005,$A190,'3 Nhật ký dừng máy'!$B$6:$B$1005,$B190,'3 Nhật ký dừng máy'!$C$6:$C$1005,$C190,'3 Nhật ký dừng máy'!$K$6:$K$1005,"Có kế hoạch"),"?"))</f>
        <v/>
      </c>
      <c r="Q190" s="28" t="str">
        <f>IF($C190="","",SUMIFS('3 Nhật ký dừng máy'!$I$6:$I$1005,'3 Nhật ký dừng máy'!$A$6:$A$1005,$A190,'3 Nhật ký dừng máy'!$B$6:$B$1005,$B190,'3 Nhật ký dừng máy'!$C$6:$C$1005,$C190,'3 Nhật ký dừng máy'!$K$6:$K$1005,"Ngoài kế hoạch"))</f>
        <v/>
      </c>
      <c r="R190" s="30" t="str">
        <f>IF($C190="","",COUNTIFS('3 Nhật ký dừng máy'!$A$6:$A$1005,$A190,'3 Nhật ký dừng máy'!$B$6:$B$1005,$B190,'3 Nhật ký dừng máy'!$C$6:$C$1005,$C190,'3 Nhật ký dừng máy'!$K$6:$K$1005,"Ngoài kế hoạch"))</f>
        <v/>
      </c>
      <c r="S190" s="31" t="str">
        <f t="shared" si="26"/>
        <v/>
      </c>
      <c r="T190" s="31" t="str">
        <f t="shared" si="27"/>
        <v/>
      </c>
      <c r="U190" s="31" t="str">
        <f t="shared" si="28"/>
        <v/>
      </c>
      <c r="V190" s="32" t="str">
        <f t="shared" si="29"/>
        <v/>
      </c>
      <c r="W190" s="30" t="str">
        <f t="shared" si="30"/>
        <v/>
      </c>
      <c r="X190" s="33" t="str">
        <f t="shared" si="31"/>
        <v/>
      </c>
      <c r="Y190" s="34" t="str">
        <f t="shared" si="32"/>
        <v/>
      </c>
    </row>
    <row r="191" spans="1:25" x14ac:dyDescent="0.2">
      <c r="A191" s="35"/>
      <c r="B191" s="21"/>
      <c r="C191" s="18"/>
      <c r="D191" s="21"/>
      <c r="E191" s="21"/>
      <c r="F191" s="21"/>
      <c r="G191" s="36"/>
      <c r="H191" s="36"/>
      <c r="I191" s="36"/>
      <c r="J191" s="37"/>
      <c r="K191" s="18"/>
      <c r="L191" s="28" t="str">
        <f t="shared" si="22"/>
        <v/>
      </c>
      <c r="M191" s="29" t="str">
        <f t="shared" si="23"/>
        <v/>
      </c>
      <c r="N191" s="29" t="str">
        <f t="shared" si="24"/>
        <v/>
      </c>
      <c r="O191" s="30" t="str">
        <f t="shared" si="25"/>
        <v/>
      </c>
      <c r="P191" s="28" t="str">
        <f>IF($C191="","",IFERROR(INDEX(CA_TG,MATCH(B191,DS_CA,0))-INDEX(CA_NGHI,MATCH(B191,DS_CA,0))-SUMIFS('3 Nhật ký dừng máy'!$I$6:$I$1005,'3 Nhật ký dừng máy'!$A$6:$A$1005,$A191,'3 Nhật ký dừng máy'!$B$6:$B$1005,$B191,'3 Nhật ký dừng máy'!$C$6:$C$1005,$C191,'3 Nhật ký dừng máy'!$K$6:$K$1005,"Có kế hoạch"),"?"))</f>
        <v/>
      </c>
      <c r="Q191" s="28" t="str">
        <f>IF($C191="","",SUMIFS('3 Nhật ký dừng máy'!$I$6:$I$1005,'3 Nhật ký dừng máy'!$A$6:$A$1005,$A191,'3 Nhật ký dừng máy'!$B$6:$B$1005,$B191,'3 Nhật ký dừng máy'!$C$6:$C$1005,$C191,'3 Nhật ký dừng máy'!$K$6:$K$1005,"Ngoài kế hoạch"))</f>
        <v/>
      </c>
      <c r="R191" s="30" t="str">
        <f>IF($C191="","",COUNTIFS('3 Nhật ký dừng máy'!$A$6:$A$1005,$A191,'3 Nhật ký dừng máy'!$B$6:$B$1005,$B191,'3 Nhật ký dừng máy'!$C$6:$C$1005,$C191,'3 Nhật ký dừng máy'!$K$6:$K$1005,"Ngoài kế hoạch"))</f>
        <v/>
      </c>
      <c r="S191" s="31" t="str">
        <f t="shared" si="26"/>
        <v/>
      </c>
      <c r="T191" s="31" t="str">
        <f t="shared" si="27"/>
        <v/>
      </c>
      <c r="U191" s="31" t="str">
        <f t="shared" si="28"/>
        <v/>
      </c>
      <c r="V191" s="32" t="str">
        <f t="shared" si="29"/>
        <v/>
      </c>
      <c r="W191" s="30" t="str">
        <f t="shared" si="30"/>
        <v/>
      </c>
      <c r="X191" s="33" t="str">
        <f t="shared" si="31"/>
        <v/>
      </c>
      <c r="Y191" s="34" t="str">
        <f t="shared" si="32"/>
        <v/>
      </c>
    </row>
    <row r="192" spans="1:25" x14ac:dyDescent="0.2">
      <c r="A192" s="35"/>
      <c r="B192" s="21"/>
      <c r="C192" s="18"/>
      <c r="D192" s="21"/>
      <c r="E192" s="21"/>
      <c r="F192" s="21"/>
      <c r="G192" s="36"/>
      <c r="H192" s="36"/>
      <c r="I192" s="36"/>
      <c r="J192" s="37"/>
      <c r="K192" s="18"/>
      <c r="L192" s="28" t="str">
        <f t="shared" si="22"/>
        <v/>
      </c>
      <c r="M192" s="29" t="str">
        <f t="shared" si="23"/>
        <v/>
      </c>
      <c r="N192" s="29" t="str">
        <f t="shared" si="24"/>
        <v/>
      </c>
      <c r="O192" s="30" t="str">
        <f t="shared" si="25"/>
        <v/>
      </c>
      <c r="P192" s="28" t="str">
        <f>IF($C192="","",IFERROR(INDEX(CA_TG,MATCH(B192,DS_CA,0))-INDEX(CA_NGHI,MATCH(B192,DS_CA,0))-SUMIFS('3 Nhật ký dừng máy'!$I$6:$I$1005,'3 Nhật ký dừng máy'!$A$6:$A$1005,$A192,'3 Nhật ký dừng máy'!$B$6:$B$1005,$B192,'3 Nhật ký dừng máy'!$C$6:$C$1005,$C192,'3 Nhật ký dừng máy'!$K$6:$K$1005,"Có kế hoạch"),"?"))</f>
        <v/>
      </c>
      <c r="Q192" s="28" t="str">
        <f>IF($C192="","",SUMIFS('3 Nhật ký dừng máy'!$I$6:$I$1005,'3 Nhật ký dừng máy'!$A$6:$A$1005,$A192,'3 Nhật ký dừng máy'!$B$6:$B$1005,$B192,'3 Nhật ký dừng máy'!$C$6:$C$1005,$C192,'3 Nhật ký dừng máy'!$K$6:$K$1005,"Ngoài kế hoạch"))</f>
        <v/>
      </c>
      <c r="R192" s="30" t="str">
        <f>IF($C192="","",COUNTIFS('3 Nhật ký dừng máy'!$A$6:$A$1005,$A192,'3 Nhật ký dừng máy'!$B$6:$B$1005,$B192,'3 Nhật ký dừng máy'!$C$6:$C$1005,$C192,'3 Nhật ký dừng máy'!$K$6:$K$1005,"Ngoài kế hoạch"))</f>
        <v/>
      </c>
      <c r="S192" s="31" t="str">
        <f t="shared" si="26"/>
        <v/>
      </c>
      <c r="T192" s="31" t="str">
        <f t="shared" si="27"/>
        <v/>
      </c>
      <c r="U192" s="31" t="str">
        <f t="shared" si="28"/>
        <v/>
      </c>
      <c r="V192" s="32" t="str">
        <f t="shared" si="29"/>
        <v/>
      </c>
      <c r="W192" s="30" t="str">
        <f t="shared" si="30"/>
        <v/>
      </c>
      <c r="X192" s="33" t="str">
        <f t="shared" si="31"/>
        <v/>
      </c>
      <c r="Y192" s="34" t="str">
        <f t="shared" si="32"/>
        <v/>
      </c>
    </row>
    <row r="193" spans="1:25" x14ac:dyDescent="0.2">
      <c r="A193" s="35"/>
      <c r="B193" s="21"/>
      <c r="C193" s="18"/>
      <c r="D193" s="21"/>
      <c r="E193" s="21"/>
      <c r="F193" s="21"/>
      <c r="G193" s="36"/>
      <c r="H193" s="36"/>
      <c r="I193" s="36"/>
      <c r="J193" s="37"/>
      <c r="K193" s="18"/>
      <c r="L193" s="28" t="str">
        <f t="shared" si="22"/>
        <v/>
      </c>
      <c r="M193" s="29" t="str">
        <f t="shared" si="23"/>
        <v/>
      </c>
      <c r="N193" s="29" t="str">
        <f t="shared" si="24"/>
        <v/>
      </c>
      <c r="O193" s="30" t="str">
        <f t="shared" si="25"/>
        <v/>
      </c>
      <c r="P193" s="28" t="str">
        <f>IF($C193="","",IFERROR(INDEX(CA_TG,MATCH(B193,DS_CA,0))-INDEX(CA_NGHI,MATCH(B193,DS_CA,0))-SUMIFS('3 Nhật ký dừng máy'!$I$6:$I$1005,'3 Nhật ký dừng máy'!$A$6:$A$1005,$A193,'3 Nhật ký dừng máy'!$B$6:$B$1005,$B193,'3 Nhật ký dừng máy'!$C$6:$C$1005,$C193,'3 Nhật ký dừng máy'!$K$6:$K$1005,"Có kế hoạch"),"?"))</f>
        <v/>
      </c>
      <c r="Q193" s="28" t="str">
        <f>IF($C193="","",SUMIFS('3 Nhật ký dừng máy'!$I$6:$I$1005,'3 Nhật ký dừng máy'!$A$6:$A$1005,$A193,'3 Nhật ký dừng máy'!$B$6:$B$1005,$B193,'3 Nhật ký dừng máy'!$C$6:$C$1005,$C193,'3 Nhật ký dừng máy'!$K$6:$K$1005,"Ngoài kế hoạch"))</f>
        <v/>
      </c>
      <c r="R193" s="30" t="str">
        <f>IF($C193="","",COUNTIFS('3 Nhật ký dừng máy'!$A$6:$A$1005,$A193,'3 Nhật ký dừng máy'!$B$6:$B$1005,$B193,'3 Nhật ký dừng máy'!$C$6:$C$1005,$C193,'3 Nhật ký dừng máy'!$K$6:$K$1005,"Ngoài kế hoạch"))</f>
        <v/>
      </c>
      <c r="S193" s="31" t="str">
        <f t="shared" si="26"/>
        <v/>
      </c>
      <c r="T193" s="31" t="str">
        <f t="shared" si="27"/>
        <v/>
      </c>
      <c r="U193" s="31" t="str">
        <f t="shared" si="28"/>
        <v/>
      </c>
      <c r="V193" s="32" t="str">
        <f t="shared" si="29"/>
        <v/>
      </c>
      <c r="W193" s="30" t="str">
        <f t="shared" si="30"/>
        <v/>
      </c>
      <c r="X193" s="33" t="str">
        <f t="shared" si="31"/>
        <v/>
      </c>
      <c r="Y193" s="34" t="str">
        <f t="shared" si="32"/>
        <v/>
      </c>
    </row>
    <row r="194" spans="1:25" x14ac:dyDescent="0.2">
      <c r="A194" s="35"/>
      <c r="B194" s="21"/>
      <c r="C194" s="18"/>
      <c r="D194" s="21"/>
      <c r="E194" s="21"/>
      <c r="F194" s="21"/>
      <c r="G194" s="36"/>
      <c r="H194" s="36"/>
      <c r="I194" s="36"/>
      <c r="J194" s="37"/>
      <c r="K194" s="18"/>
      <c r="L194" s="28" t="str">
        <f t="shared" si="22"/>
        <v/>
      </c>
      <c r="M194" s="29" t="str">
        <f t="shared" si="23"/>
        <v/>
      </c>
      <c r="N194" s="29" t="str">
        <f t="shared" si="24"/>
        <v/>
      </c>
      <c r="O194" s="30" t="str">
        <f t="shared" si="25"/>
        <v/>
      </c>
      <c r="P194" s="28" t="str">
        <f>IF($C194="","",IFERROR(INDEX(CA_TG,MATCH(B194,DS_CA,0))-INDEX(CA_NGHI,MATCH(B194,DS_CA,0))-SUMIFS('3 Nhật ký dừng máy'!$I$6:$I$1005,'3 Nhật ký dừng máy'!$A$6:$A$1005,$A194,'3 Nhật ký dừng máy'!$B$6:$B$1005,$B194,'3 Nhật ký dừng máy'!$C$6:$C$1005,$C194,'3 Nhật ký dừng máy'!$K$6:$K$1005,"Có kế hoạch"),"?"))</f>
        <v/>
      </c>
      <c r="Q194" s="28" t="str">
        <f>IF($C194="","",SUMIFS('3 Nhật ký dừng máy'!$I$6:$I$1005,'3 Nhật ký dừng máy'!$A$6:$A$1005,$A194,'3 Nhật ký dừng máy'!$B$6:$B$1005,$B194,'3 Nhật ký dừng máy'!$C$6:$C$1005,$C194,'3 Nhật ký dừng máy'!$K$6:$K$1005,"Ngoài kế hoạch"))</f>
        <v/>
      </c>
      <c r="R194" s="30" t="str">
        <f>IF($C194="","",COUNTIFS('3 Nhật ký dừng máy'!$A$6:$A$1005,$A194,'3 Nhật ký dừng máy'!$B$6:$B$1005,$B194,'3 Nhật ký dừng máy'!$C$6:$C$1005,$C194,'3 Nhật ký dừng máy'!$K$6:$K$1005,"Ngoài kế hoạch"))</f>
        <v/>
      </c>
      <c r="S194" s="31" t="str">
        <f t="shared" si="26"/>
        <v/>
      </c>
      <c r="T194" s="31" t="str">
        <f t="shared" si="27"/>
        <v/>
      </c>
      <c r="U194" s="31" t="str">
        <f t="shared" si="28"/>
        <v/>
      </c>
      <c r="V194" s="32" t="str">
        <f t="shared" si="29"/>
        <v/>
      </c>
      <c r="W194" s="30" t="str">
        <f t="shared" si="30"/>
        <v/>
      </c>
      <c r="X194" s="33" t="str">
        <f t="shared" si="31"/>
        <v/>
      </c>
      <c r="Y194" s="34" t="str">
        <f t="shared" si="32"/>
        <v/>
      </c>
    </row>
    <row r="195" spans="1:25" x14ac:dyDescent="0.2">
      <c r="A195" s="35"/>
      <c r="B195" s="21"/>
      <c r="C195" s="18"/>
      <c r="D195" s="21"/>
      <c r="E195" s="21"/>
      <c r="F195" s="21"/>
      <c r="G195" s="36"/>
      <c r="H195" s="36"/>
      <c r="I195" s="36"/>
      <c r="J195" s="37"/>
      <c r="K195" s="18"/>
      <c r="L195" s="28" t="str">
        <f t="shared" si="22"/>
        <v/>
      </c>
      <c r="M195" s="29" t="str">
        <f t="shared" si="23"/>
        <v/>
      </c>
      <c r="N195" s="29" t="str">
        <f t="shared" si="24"/>
        <v/>
      </c>
      <c r="O195" s="30" t="str">
        <f t="shared" si="25"/>
        <v/>
      </c>
      <c r="P195" s="28" t="str">
        <f>IF($C195="","",IFERROR(INDEX(CA_TG,MATCH(B195,DS_CA,0))-INDEX(CA_NGHI,MATCH(B195,DS_CA,0))-SUMIFS('3 Nhật ký dừng máy'!$I$6:$I$1005,'3 Nhật ký dừng máy'!$A$6:$A$1005,$A195,'3 Nhật ký dừng máy'!$B$6:$B$1005,$B195,'3 Nhật ký dừng máy'!$C$6:$C$1005,$C195,'3 Nhật ký dừng máy'!$K$6:$K$1005,"Có kế hoạch"),"?"))</f>
        <v/>
      </c>
      <c r="Q195" s="28" t="str">
        <f>IF($C195="","",SUMIFS('3 Nhật ký dừng máy'!$I$6:$I$1005,'3 Nhật ký dừng máy'!$A$6:$A$1005,$A195,'3 Nhật ký dừng máy'!$B$6:$B$1005,$B195,'3 Nhật ký dừng máy'!$C$6:$C$1005,$C195,'3 Nhật ký dừng máy'!$K$6:$K$1005,"Ngoài kế hoạch"))</f>
        <v/>
      </c>
      <c r="R195" s="30" t="str">
        <f>IF($C195="","",COUNTIFS('3 Nhật ký dừng máy'!$A$6:$A$1005,$A195,'3 Nhật ký dừng máy'!$B$6:$B$1005,$B195,'3 Nhật ký dừng máy'!$C$6:$C$1005,$C195,'3 Nhật ký dừng máy'!$K$6:$K$1005,"Ngoài kế hoạch"))</f>
        <v/>
      </c>
      <c r="S195" s="31" t="str">
        <f t="shared" si="26"/>
        <v/>
      </c>
      <c r="T195" s="31" t="str">
        <f t="shared" si="27"/>
        <v/>
      </c>
      <c r="U195" s="31" t="str">
        <f t="shared" si="28"/>
        <v/>
      </c>
      <c r="V195" s="32" t="str">
        <f t="shared" si="29"/>
        <v/>
      </c>
      <c r="W195" s="30" t="str">
        <f t="shared" si="30"/>
        <v/>
      </c>
      <c r="X195" s="33" t="str">
        <f t="shared" si="31"/>
        <v/>
      </c>
      <c r="Y195" s="34" t="str">
        <f t="shared" si="32"/>
        <v/>
      </c>
    </row>
    <row r="196" spans="1:25" x14ac:dyDescent="0.2">
      <c r="A196" s="35"/>
      <c r="B196" s="21"/>
      <c r="C196" s="18"/>
      <c r="D196" s="21"/>
      <c r="E196" s="21"/>
      <c r="F196" s="21"/>
      <c r="G196" s="36"/>
      <c r="H196" s="36"/>
      <c r="I196" s="36"/>
      <c r="J196" s="37"/>
      <c r="K196" s="18"/>
      <c r="L196" s="28" t="str">
        <f t="shared" si="22"/>
        <v/>
      </c>
      <c r="M196" s="29" t="str">
        <f t="shared" si="23"/>
        <v/>
      </c>
      <c r="N196" s="29" t="str">
        <f t="shared" si="24"/>
        <v/>
      </c>
      <c r="O196" s="30" t="str">
        <f t="shared" si="25"/>
        <v/>
      </c>
      <c r="P196" s="28" t="str">
        <f>IF($C196="","",IFERROR(INDEX(CA_TG,MATCH(B196,DS_CA,0))-INDEX(CA_NGHI,MATCH(B196,DS_CA,0))-SUMIFS('3 Nhật ký dừng máy'!$I$6:$I$1005,'3 Nhật ký dừng máy'!$A$6:$A$1005,$A196,'3 Nhật ký dừng máy'!$B$6:$B$1005,$B196,'3 Nhật ký dừng máy'!$C$6:$C$1005,$C196,'3 Nhật ký dừng máy'!$K$6:$K$1005,"Có kế hoạch"),"?"))</f>
        <v/>
      </c>
      <c r="Q196" s="28" t="str">
        <f>IF($C196="","",SUMIFS('3 Nhật ký dừng máy'!$I$6:$I$1005,'3 Nhật ký dừng máy'!$A$6:$A$1005,$A196,'3 Nhật ký dừng máy'!$B$6:$B$1005,$B196,'3 Nhật ký dừng máy'!$C$6:$C$1005,$C196,'3 Nhật ký dừng máy'!$K$6:$K$1005,"Ngoài kế hoạch"))</f>
        <v/>
      </c>
      <c r="R196" s="30" t="str">
        <f>IF($C196="","",COUNTIFS('3 Nhật ký dừng máy'!$A$6:$A$1005,$A196,'3 Nhật ký dừng máy'!$B$6:$B$1005,$B196,'3 Nhật ký dừng máy'!$C$6:$C$1005,$C196,'3 Nhật ký dừng máy'!$K$6:$K$1005,"Ngoài kế hoạch"))</f>
        <v/>
      </c>
      <c r="S196" s="31" t="str">
        <f t="shared" si="26"/>
        <v/>
      </c>
      <c r="T196" s="31" t="str">
        <f t="shared" si="27"/>
        <v/>
      </c>
      <c r="U196" s="31" t="str">
        <f t="shared" si="28"/>
        <v/>
      </c>
      <c r="V196" s="32" t="str">
        <f t="shared" si="29"/>
        <v/>
      </c>
      <c r="W196" s="30" t="str">
        <f t="shared" si="30"/>
        <v/>
      </c>
      <c r="X196" s="33" t="str">
        <f t="shared" si="31"/>
        <v/>
      </c>
      <c r="Y196" s="34" t="str">
        <f t="shared" si="32"/>
        <v/>
      </c>
    </row>
    <row r="197" spans="1:25" x14ac:dyDescent="0.2">
      <c r="A197" s="35"/>
      <c r="B197" s="21"/>
      <c r="C197" s="18"/>
      <c r="D197" s="21"/>
      <c r="E197" s="21"/>
      <c r="F197" s="21"/>
      <c r="G197" s="36"/>
      <c r="H197" s="36"/>
      <c r="I197" s="36"/>
      <c r="J197" s="37"/>
      <c r="K197" s="18"/>
      <c r="L197" s="28" t="str">
        <f t="shared" si="22"/>
        <v/>
      </c>
      <c r="M197" s="29" t="str">
        <f t="shared" si="23"/>
        <v/>
      </c>
      <c r="N197" s="29" t="str">
        <f t="shared" si="24"/>
        <v/>
      </c>
      <c r="O197" s="30" t="str">
        <f t="shared" si="25"/>
        <v/>
      </c>
      <c r="P197" s="28" t="str">
        <f>IF($C197="","",IFERROR(INDEX(CA_TG,MATCH(B197,DS_CA,0))-INDEX(CA_NGHI,MATCH(B197,DS_CA,0))-SUMIFS('3 Nhật ký dừng máy'!$I$6:$I$1005,'3 Nhật ký dừng máy'!$A$6:$A$1005,$A197,'3 Nhật ký dừng máy'!$B$6:$B$1005,$B197,'3 Nhật ký dừng máy'!$C$6:$C$1005,$C197,'3 Nhật ký dừng máy'!$K$6:$K$1005,"Có kế hoạch"),"?"))</f>
        <v/>
      </c>
      <c r="Q197" s="28" t="str">
        <f>IF($C197="","",SUMIFS('3 Nhật ký dừng máy'!$I$6:$I$1005,'3 Nhật ký dừng máy'!$A$6:$A$1005,$A197,'3 Nhật ký dừng máy'!$B$6:$B$1005,$B197,'3 Nhật ký dừng máy'!$C$6:$C$1005,$C197,'3 Nhật ký dừng máy'!$K$6:$K$1005,"Ngoài kế hoạch"))</f>
        <v/>
      </c>
      <c r="R197" s="30" t="str">
        <f>IF($C197="","",COUNTIFS('3 Nhật ký dừng máy'!$A$6:$A$1005,$A197,'3 Nhật ký dừng máy'!$B$6:$B$1005,$B197,'3 Nhật ký dừng máy'!$C$6:$C$1005,$C197,'3 Nhật ký dừng máy'!$K$6:$K$1005,"Ngoài kế hoạch"))</f>
        <v/>
      </c>
      <c r="S197" s="31" t="str">
        <f t="shared" si="26"/>
        <v/>
      </c>
      <c r="T197" s="31" t="str">
        <f t="shared" si="27"/>
        <v/>
      </c>
      <c r="U197" s="31" t="str">
        <f t="shared" si="28"/>
        <v/>
      </c>
      <c r="V197" s="32" t="str">
        <f t="shared" si="29"/>
        <v/>
      </c>
      <c r="W197" s="30" t="str">
        <f t="shared" si="30"/>
        <v/>
      </c>
      <c r="X197" s="33" t="str">
        <f t="shared" si="31"/>
        <v/>
      </c>
      <c r="Y197" s="34" t="str">
        <f t="shared" si="32"/>
        <v/>
      </c>
    </row>
    <row r="198" spans="1:25" x14ac:dyDescent="0.2">
      <c r="A198" s="35"/>
      <c r="B198" s="21"/>
      <c r="C198" s="18"/>
      <c r="D198" s="21"/>
      <c r="E198" s="21"/>
      <c r="F198" s="21"/>
      <c r="G198" s="36"/>
      <c r="H198" s="36"/>
      <c r="I198" s="36"/>
      <c r="J198" s="37"/>
      <c r="K198" s="18"/>
      <c r="L198" s="28" t="str">
        <f t="shared" ref="L198:L261" si="33">IF($C198="","",H198-I198)</f>
        <v/>
      </c>
      <c r="M198" s="29" t="str">
        <f t="shared" ref="M198:M261" si="34">IF(OR($C198="",N(G198)&lt;=0),"",L198/G198)</f>
        <v/>
      </c>
      <c r="N198" s="29" t="str">
        <f t="shared" ref="N198:N261" si="35">IF(OR($C198="",N(H198)&lt;=0),"",I198/H198)</f>
        <v/>
      </c>
      <c r="O198" s="30" t="str">
        <f t="shared" ref="O198:O261" si="36">IF($C198="","",IFERROR(INDEX(MH_CT,MATCH(E198,DS_MH,0)),"?"))</f>
        <v/>
      </c>
      <c r="P198" s="28" t="str">
        <f>IF($C198="","",IFERROR(INDEX(CA_TG,MATCH(B198,DS_CA,0))-INDEX(CA_NGHI,MATCH(B198,DS_CA,0))-SUMIFS('3 Nhật ký dừng máy'!$I$6:$I$1005,'3 Nhật ký dừng máy'!$A$6:$A$1005,$A198,'3 Nhật ký dừng máy'!$B$6:$B$1005,$B198,'3 Nhật ký dừng máy'!$C$6:$C$1005,$C198,'3 Nhật ký dừng máy'!$K$6:$K$1005,"Có kế hoạch"),"?"))</f>
        <v/>
      </c>
      <c r="Q198" s="28" t="str">
        <f>IF($C198="","",SUMIFS('3 Nhật ký dừng máy'!$I$6:$I$1005,'3 Nhật ký dừng máy'!$A$6:$A$1005,$A198,'3 Nhật ký dừng máy'!$B$6:$B$1005,$B198,'3 Nhật ký dừng máy'!$C$6:$C$1005,$C198,'3 Nhật ký dừng máy'!$K$6:$K$1005,"Ngoài kế hoạch"))</f>
        <v/>
      </c>
      <c r="R198" s="30" t="str">
        <f>IF($C198="","",COUNTIFS('3 Nhật ký dừng máy'!$A$6:$A$1005,$A198,'3 Nhật ký dừng máy'!$B$6:$B$1005,$B198,'3 Nhật ký dừng máy'!$C$6:$C$1005,$C198,'3 Nhật ký dừng máy'!$K$6:$K$1005,"Ngoài kế hoạch"))</f>
        <v/>
      </c>
      <c r="S198" s="31" t="str">
        <f t="shared" ref="S198:S261" si="37">IF($C198="","",IFERROR(H198*O198/60,"?"))</f>
        <v/>
      </c>
      <c r="T198" s="31" t="str">
        <f t="shared" ref="T198:T261" si="38">IF($C198="","",IFERROR(P198-Q198-S198,"?"))</f>
        <v/>
      </c>
      <c r="U198" s="31" t="str">
        <f t="shared" ref="U198:U261" si="39">IF($C198="","",IFERROR(L198*O198/60,"?"))</f>
        <v/>
      </c>
      <c r="V198" s="32" t="str">
        <f t="shared" ref="V198:V261" si="40">IF($C198="","",IFERROR(U198/P198,"?"))</f>
        <v/>
      </c>
      <c r="W198" s="30" t="str">
        <f t="shared" ref="W198:W261" si="41">IF(OR($C198="",J198=""),"",INT(J198)-A198)</f>
        <v/>
      </c>
      <c r="X198" s="33" t="str">
        <f t="shared" ref="X198:X261" si="42">IF($C198="","",IFERROR(LEFT(IF(N(T198)&lt;0,"Nhanh hơn chu kỳ chuẩn — chuẩn đặt rộng?; ","")&amp;IF(D198="","Thiếu người đứng máy; ","")&amp;IF(R198=0,"Không ghi lần dừng nào; ","")&amp;IF(COUNTIF($Y$6:$Y$505,Y198)&gt;1,"Trùng dòng máy × ca; ",""),LEN(IF(N(T198)&lt;0,"Nhanh hơn chu kỳ chuẩn — chuẩn đặt rộng?; ","")&amp;IF(D198="","Thiếu người đứng máy; ","")&amp;IF(R198=0,"Không ghi lần dừng nào; ","")&amp;IF(COUNTIF($Y$6:$Y$505,Y198)&gt;1,"Trùng dòng máy × ca; ",""))-2),""))</f>
        <v/>
      </c>
      <c r="Y198" s="34" t="str">
        <f t="shared" ref="Y198:Y261" si="43">IF($C198="","",A198&amp;"|"&amp;B198&amp;"|"&amp;C198)</f>
        <v/>
      </c>
    </row>
    <row r="199" spans="1:25" x14ac:dyDescent="0.2">
      <c r="A199" s="35"/>
      <c r="B199" s="21"/>
      <c r="C199" s="18"/>
      <c r="D199" s="21"/>
      <c r="E199" s="21"/>
      <c r="F199" s="21"/>
      <c r="G199" s="36"/>
      <c r="H199" s="36"/>
      <c r="I199" s="36"/>
      <c r="J199" s="37"/>
      <c r="K199" s="18"/>
      <c r="L199" s="28" t="str">
        <f t="shared" si="33"/>
        <v/>
      </c>
      <c r="M199" s="29" t="str">
        <f t="shared" si="34"/>
        <v/>
      </c>
      <c r="N199" s="29" t="str">
        <f t="shared" si="35"/>
        <v/>
      </c>
      <c r="O199" s="30" t="str">
        <f t="shared" si="36"/>
        <v/>
      </c>
      <c r="P199" s="28" t="str">
        <f>IF($C199="","",IFERROR(INDEX(CA_TG,MATCH(B199,DS_CA,0))-INDEX(CA_NGHI,MATCH(B199,DS_CA,0))-SUMIFS('3 Nhật ký dừng máy'!$I$6:$I$1005,'3 Nhật ký dừng máy'!$A$6:$A$1005,$A199,'3 Nhật ký dừng máy'!$B$6:$B$1005,$B199,'3 Nhật ký dừng máy'!$C$6:$C$1005,$C199,'3 Nhật ký dừng máy'!$K$6:$K$1005,"Có kế hoạch"),"?"))</f>
        <v/>
      </c>
      <c r="Q199" s="28" t="str">
        <f>IF($C199="","",SUMIFS('3 Nhật ký dừng máy'!$I$6:$I$1005,'3 Nhật ký dừng máy'!$A$6:$A$1005,$A199,'3 Nhật ký dừng máy'!$B$6:$B$1005,$B199,'3 Nhật ký dừng máy'!$C$6:$C$1005,$C199,'3 Nhật ký dừng máy'!$K$6:$K$1005,"Ngoài kế hoạch"))</f>
        <v/>
      </c>
      <c r="R199" s="30" t="str">
        <f>IF($C199="","",COUNTIFS('3 Nhật ký dừng máy'!$A$6:$A$1005,$A199,'3 Nhật ký dừng máy'!$B$6:$B$1005,$B199,'3 Nhật ký dừng máy'!$C$6:$C$1005,$C199,'3 Nhật ký dừng máy'!$K$6:$K$1005,"Ngoài kế hoạch"))</f>
        <v/>
      </c>
      <c r="S199" s="31" t="str">
        <f t="shared" si="37"/>
        <v/>
      </c>
      <c r="T199" s="31" t="str">
        <f t="shared" si="38"/>
        <v/>
      </c>
      <c r="U199" s="31" t="str">
        <f t="shared" si="39"/>
        <v/>
      </c>
      <c r="V199" s="32" t="str">
        <f t="shared" si="40"/>
        <v/>
      </c>
      <c r="W199" s="30" t="str">
        <f t="shared" si="41"/>
        <v/>
      </c>
      <c r="X199" s="33" t="str">
        <f t="shared" si="42"/>
        <v/>
      </c>
      <c r="Y199" s="34" t="str">
        <f t="shared" si="43"/>
        <v/>
      </c>
    </row>
    <row r="200" spans="1:25" x14ac:dyDescent="0.2">
      <c r="A200" s="35"/>
      <c r="B200" s="21"/>
      <c r="C200" s="18"/>
      <c r="D200" s="21"/>
      <c r="E200" s="21"/>
      <c r="F200" s="21"/>
      <c r="G200" s="36"/>
      <c r="H200" s="36"/>
      <c r="I200" s="36"/>
      <c r="J200" s="37"/>
      <c r="K200" s="18"/>
      <c r="L200" s="28" t="str">
        <f t="shared" si="33"/>
        <v/>
      </c>
      <c r="M200" s="29" t="str">
        <f t="shared" si="34"/>
        <v/>
      </c>
      <c r="N200" s="29" t="str">
        <f t="shared" si="35"/>
        <v/>
      </c>
      <c r="O200" s="30" t="str">
        <f t="shared" si="36"/>
        <v/>
      </c>
      <c r="P200" s="28" t="str">
        <f>IF($C200="","",IFERROR(INDEX(CA_TG,MATCH(B200,DS_CA,0))-INDEX(CA_NGHI,MATCH(B200,DS_CA,0))-SUMIFS('3 Nhật ký dừng máy'!$I$6:$I$1005,'3 Nhật ký dừng máy'!$A$6:$A$1005,$A200,'3 Nhật ký dừng máy'!$B$6:$B$1005,$B200,'3 Nhật ký dừng máy'!$C$6:$C$1005,$C200,'3 Nhật ký dừng máy'!$K$6:$K$1005,"Có kế hoạch"),"?"))</f>
        <v/>
      </c>
      <c r="Q200" s="28" t="str">
        <f>IF($C200="","",SUMIFS('3 Nhật ký dừng máy'!$I$6:$I$1005,'3 Nhật ký dừng máy'!$A$6:$A$1005,$A200,'3 Nhật ký dừng máy'!$B$6:$B$1005,$B200,'3 Nhật ký dừng máy'!$C$6:$C$1005,$C200,'3 Nhật ký dừng máy'!$K$6:$K$1005,"Ngoài kế hoạch"))</f>
        <v/>
      </c>
      <c r="R200" s="30" t="str">
        <f>IF($C200="","",COUNTIFS('3 Nhật ký dừng máy'!$A$6:$A$1005,$A200,'3 Nhật ký dừng máy'!$B$6:$B$1005,$B200,'3 Nhật ký dừng máy'!$C$6:$C$1005,$C200,'3 Nhật ký dừng máy'!$K$6:$K$1005,"Ngoài kế hoạch"))</f>
        <v/>
      </c>
      <c r="S200" s="31" t="str">
        <f t="shared" si="37"/>
        <v/>
      </c>
      <c r="T200" s="31" t="str">
        <f t="shared" si="38"/>
        <v/>
      </c>
      <c r="U200" s="31" t="str">
        <f t="shared" si="39"/>
        <v/>
      </c>
      <c r="V200" s="32" t="str">
        <f t="shared" si="40"/>
        <v/>
      </c>
      <c r="W200" s="30" t="str">
        <f t="shared" si="41"/>
        <v/>
      </c>
      <c r="X200" s="33" t="str">
        <f t="shared" si="42"/>
        <v/>
      </c>
      <c r="Y200" s="34" t="str">
        <f t="shared" si="43"/>
        <v/>
      </c>
    </row>
    <row r="201" spans="1:25" x14ac:dyDescent="0.2">
      <c r="A201" s="35"/>
      <c r="B201" s="21"/>
      <c r="C201" s="18"/>
      <c r="D201" s="21"/>
      <c r="E201" s="21"/>
      <c r="F201" s="21"/>
      <c r="G201" s="36"/>
      <c r="H201" s="36"/>
      <c r="I201" s="36"/>
      <c r="J201" s="37"/>
      <c r="K201" s="18"/>
      <c r="L201" s="28" t="str">
        <f t="shared" si="33"/>
        <v/>
      </c>
      <c r="M201" s="29" t="str">
        <f t="shared" si="34"/>
        <v/>
      </c>
      <c r="N201" s="29" t="str">
        <f t="shared" si="35"/>
        <v/>
      </c>
      <c r="O201" s="30" t="str">
        <f t="shared" si="36"/>
        <v/>
      </c>
      <c r="P201" s="28" t="str">
        <f>IF($C201="","",IFERROR(INDEX(CA_TG,MATCH(B201,DS_CA,0))-INDEX(CA_NGHI,MATCH(B201,DS_CA,0))-SUMIFS('3 Nhật ký dừng máy'!$I$6:$I$1005,'3 Nhật ký dừng máy'!$A$6:$A$1005,$A201,'3 Nhật ký dừng máy'!$B$6:$B$1005,$B201,'3 Nhật ký dừng máy'!$C$6:$C$1005,$C201,'3 Nhật ký dừng máy'!$K$6:$K$1005,"Có kế hoạch"),"?"))</f>
        <v/>
      </c>
      <c r="Q201" s="28" t="str">
        <f>IF($C201="","",SUMIFS('3 Nhật ký dừng máy'!$I$6:$I$1005,'3 Nhật ký dừng máy'!$A$6:$A$1005,$A201,'3 Nhật ký dừng máy'!$B$6:$B$1005,$B201,'3 Nhật ký dừng máy'!$C$6:$C$1005,$C201,'3 Nhật ký dừng máy'!$K$6:$K$1005,"Ngoài kế hoạch"))</f>
        <v/>
      </c>
      <c r="R201" s="30" t="str">
        <f>IF($C201="","",COUNTIFS('3 Nhật ký dừng máy'!$A$6:$A$1005,$A201,'3 Nhật ký dừng máy'!$B$6:$B$1005,$B201,'3 Nhật ký dừng máy'!$C$6:$C$1005,$C201,'3 Nhật ký dừng máy'!$K$6:$K$1005,"Ngoài kế hoạch"))</f>
        <v/>
      </c>
      <c r="S201" s="31" t="str">
        <f t="shared" si="37"/>
        <v/>
      </c>
      <c r="T201" s="31" t="str">
        <f t="shared" si="38"/>
        <v/>
      </c>
      <c r="U201" s="31" t="str">
        <f t="shared" si="39"/>
        <v/>
      </c>
      <c r="V201" s="32" t="str">
        <f t="shared" si="40"/>
        <v/>
      </c>
      <c r="W201" s="30" t="str">
        <f t="shared" si="41"/>
        <v/>
      </c>
      <c r="X201" s="33" t="str">
        <f t="shared" si="42"/>
        <v/>
      </c>
      <c r="Y201" s="34" t="str">
        <f t="shared" si="43"/>
        <v/>
      </c>
    </row>
    <row r="202" spans="1:25" x14ac:dyDescent="0.2">
      <c r="A202" s="35"/>
      <c r="B202" s="21"/>
      <c r="C202" s="18"/>
      <c r="D202" s="21"/>
      <c r="E202" s="21"/>
      <c r="F202" s="21"/>
      <c r="G202" s="36"/>
      <c r="H202" s="36"/>
      <c r="I202" s="36"/>
      <c r="J202" s="37"/>
      <c r="K202" s="18"/>
      <c r="L202" s="28" t="str">
        <f t="shared" si="33"/>
        <v/>
      </c>
      <c r="M202" s="29" t="str">
        <f t="shared" si="34"/>
        <v/>
      </c>
      <c r="N202" s="29" t="str">
        <f t="shared" si="35"/>
        <v/>
      </c>
      <c r="O202" s="30" t="str">
        <f t="shared" si="36"/>
        <v/>
      </c>
      <c r="P202" s="28" t="str">
        <f>IF($C202="","",IFERROR(INDEX(CA_TG,MATCH(B202,DS_CA,0))-INDEX(CA_NGHI,MATCH(B202,DS_CA,0))-SUMIFS('3 Nhật ký dừng máy'!$I$6:$I$1005,'3 Nhật ký dừng máy'!$A$6:$A$1005,$A202,'3 Nhật ký dừng máy'!$B$6:$B$1005,$B202,'3 Nhật ký dừng máy'!$C$6:$C$1005,$C202,'3 Nhật ký dừng máy'!$K$6:$K$1005,"Có kế hoạch"),"?"))</f>
        <v/>
      </c>
      <c r="Q202" s="28" t="str">
        <f>IF($C202="","",SUMIFS('3 Nhật ký dừng máy'!$I$6:$I$1005,'3 Nhật ký dừng máy'!$A$6:$A$1005,$A202,'3 Nhật ký dừng máy'!$B$6:$B$1005,$B202,'3 Nhật ký dừng máy'!$C$6:$C$1005,$C202,'3 Nhật ký dừng máy'!$K$6:$K$1005,"Ngoài kế hoạch"))</f>
        <v/>
      </c>
      <c r="R202" s="30" t="str">
        <f>IF($C202="","",COUNTIFS('3 Nhật ký dừng máy'!$A$6:$A$1005,$A202,'3 Nhật ký dừng máy'!$B$6:$B$1005,$B202,'3 Nhật ký dừng máy'!$C$6:$C$1005,$C202,'3 Nhật ký dừng máy'!$K$6:$K$1005,"Ngoài kế hoạch"))</f>
        <v/>
      </c>
      <c r="S202" s="31" t="str">
        <f t="shared" si="37"/>
        <v/>
      </c>
      <c r="T202" s="31" t="str">
        <f t="shared" si="38"/>
        <v/>
      </c>
      <c r="U202" s="31" t="str">
        <f t="shared" si="39"/>
        <v/>
      </c>
      <c r="V202" s="32" t="str">
        <f t="shared" si="40"/>
        <v/>
      </c>
      <c r="W202" s="30" t="str">
        <f t="shared" si="41"/>
        <v/>
      </c>
      <c r="X202" s="33" t="str">
        <f t="shared" si="42"/>
        <v/>
      </c>
      <c r="Y202" s="34" t="str">
        <f t="shared" si="43"/>
        <v/>
      </c>
    </row>
    <row r="203" spans="1:25" x14ac:dyDescent="0.2">
      <c r="A203" s="35"/>
      <c r="B203" s="21"/>
      <c r="C203" s="18"/>
      <c r="D203" s="21"/>
      <c r="E203" s="21"/>
      <c r="F203" s="21"/>
      <c r="G203" s="36"/>
      <c r="H203" s="36"/>
      <c r="I203" s="36"/>
      <c r="J203" s="37"/>
      <c r="K203" s="18"/>
      <c r="L203" s="28" t="str">
        <f t="shared" si="33"/>
        <v/>
      </c>
      <c r="M203" s="29" t="str">
        <f t="shared" si="34"/>
        <v/>
      </c>
      <c r="N203" s="29" t="str">
        <f t="shared" si="35"/>
        <v/>
      </c>
      <c r="O203" s="30" t="str">
        <f t="shared" si="36"/>
        <v/>
      </c>
      <c r="P203" s="28" t="str">
        <f>IF($C203="","",IFERROR(INDEX(CA_TG,MATCH(B203,DS_CA,0))-INDEX(CA_NGHI,MATCH(B203,DS_CA,0))-SUMIFS('3 Nhật ký dừng máy'!$I$6:$I$1005,'3 Nhật ký dừng máy'!$A$6:$A$1005,$A203,'3 Nhật ký dừng máy'!$B$6:$B$1005,$B203,'3 Nhật ký dừng máy'!$C$6:$C$1005,$C203,'3 Nhật ký dừng máy'!$K$6:$K$1005,"Có kế hoạch"),"?"))</f>
        <v/>
      </c>
      <c r="Q203" s="28" t="str">
        <f>IF($C203="","",SUMIFS('3 Nhật ký dừng máy'!$I$6:$I$1005,'3 Nhật ký dừng máy'!$A$6:$A$1005,$A203,'3 Nhật ký dừng máy'!$B$6:$B$1005,$B203,'3 Nhật ký dừng máy'!$C$6:$C$1005,$C203,'3 Nhật ký dừng máy'!$K$6:$K$1005,"Ngoài kế hoạch"))</f>
        <v/>
      </c>
      <c r="R203" s="30" t="str">
        <f>IF($C203="","",COUNTIFS('3 Nhật ký dừng máy'!$A$6:$A$1005,$A203,'3 Nhật ký dừng máy'!$B$6:$B$1005,$B203,'3 Nhật ký dừng máy'!$C$6:$C$1005,$C203,'3 Nhật ký dừng máy'!$K$6:$K$1005,"Ngoài kế hoạch"))</f>
        <v/>
      </c>
      <c r="S203" s="31" t="str">
        <f t="shared" si="37"/>
        <v/>
      </c>
      <c r="T203" s="31" t="str">
        <f t="shared" si="38"/>
        <v/>
      </c>
      <c r="U203" s="31" t="str">
        <f t="shared" si="39"/>
        <v/>
      </c>
      <c r="V203" s="32" t="str">
        <f t="shared" si="40"/>
        <v/>
      </c>
      <c r="W203" s="30" t="str">
        <f t="shared" si="41"/>
        <v/>
      </c>
      <c r="X203" s="33" t="str">
        <f t="shared" si="42"/>
        <v/>
      </c>
      <c r="Y203" s="34" t="str">
        <f t="shared" si="43"/>
        <v/>
      </c>
    </row>
    <row r="204" spans="1:25" x14ac:dyDescent="0.2">
      <c r="A204" s="35"/>
      <c r="B204" s="21"/>
      <c r="C204" s="18"/>
      <c r="D204" s="21"/>
      <c r="E204" s="21"/>
      <c r="F204" s="21"/>
      <c r="G204" s="36"/>
      <c r="H204" s="36"/>
      <c r="I204" s="36"/>
      <c r="J204" s="37"/>
      <c r="K204" s="18"/>
      <c r="L204" s="28" t="str">
        <f t="shared" si="33"/>
        <v/>
      </c>
      <c r="M204" s="29" t="str">
        <f t="shared" si="34"/>
        <v/>
      </c>
      <c r="N204" s="29" t="str">
        <f t="shared" si="35"/>
        <v/>
      </c>
      <c r="O204" s="30" t="str">
        <f t="shared" si="36"/>
        <v/>
      </c>
      <c r="P204" s="28" t="str">
        <f>IF($C204="","",IFERROR(INDEX(CA_TG,MATCH(B204,DS_CA,0))-INDEX(CA_NGHI,MATCH(B204,DS_CA,0))-SUMIFS('3 Nhật ký dừng máy'!$I$6:$I$1005,'3 Nhật ký dừng máy'!$A$6:$A$1005,$A204,'3 Nhật ký dừng máy'!$B$6:$B$1005,$B204,'3 Nhật ký dừng máy'!$C$6:$C$1005,$C204,'3 Nhật ký dừng máy'!$K$6:$K$1005,"Có kế hoạch"),"?"))</f>
        <v/>
      </c>
      <c r="Q204" s="28" t="str">
        <f>IF($C204="","",SUMIFS('3 Nhật ký dừng máy'!$I$6:$I$1005,'3 Nhật ký dừng máy'!$A$6:$A$1005,$A204,'3 Nhật ký dừng máy'!$B$6:$B$1005,$B204,'3 Nhật ký dừng máy'!$C$6:$C$1005,$C204,'3 Nhật ký dừng máy'!$K$6:$K$1005,"Ngoài kế hoạch"))</f>
        <v/>
      </c>
      <c r="R204" s="30" t="str">
        <f>IF($C204="","",COUNTIFS('3 Nhật ký dừng máy'!$A$6:$A$1005,$A204,'3 Nhật ký dừng máy'!$B$6:$B$1005,$B204,'3 Nhật ký dừng máy'!$C$6:$C$1005,$C204,'3 Nhật ký dừng máy'!$K$6:$K$1005,"Ngoài kế hoạch"))</f>
        <v/>
      </c>
      <c r="S204" s="31" t="str">
        <f t="shared" si="37"/>
        <v/>
      </c>
      <c r="T204" s="31" t="str">
        <f t="shared" si="38"/>
        <v/>
      </c>
      <c r="U204" s="31" t="str">
        <f t="shared" si="39"/>
        <v/>
      </c>
      <c r="V204" s="32" t="str">
        <f t="shared" si="40"/>
        <v/>
      </c>
      <c r="W204" s="30" t="str">
        <f t="shared" si="41"/>
        <v/>
      </c>
      <c r="X204" s="33" t="str">
        <f t="shared" si="42"/>
        <v/>
      </c>
      <c r="Y204" s="34" t="str">
        <f t="shared" si="43"/>
        <v/>
      </c>
    </row>
    <row r="205" spans="1:25" x14ac:dyDescent="0.2">
      <c r="A205" s="35"/>
      <c r="B205" s="21"/>
      <c r="C205" s="18"/>
      <c r="D205" s="21"/>
      <c r="E205" s="21"/>
      <c r="F205" s="21"/>
      <c r="G205" s="36"/>
      <c r="H205" s="36"/>
      <c r="I205" s="36"/>
      <c r="J205" s="37"/>
      <c r="K205" s="18"/>
      <c r="L205" s="28" t="str">
        <f t="shared" si="33"/>
        <v/>
      </c>
      <c r="M205" s="29" t="str">
        <f t="shared" si="34"/>
        <v/>
      </c>
      <c r="N205" s="29" t="str">
        <f t="shared" si="35"/>
        <v/>
      </c>
      <c r="O205" s="30" t="str">
        <f t="shared" si="36"/>
        <v/>
      </c>
      <c r="P205" s="28" t="str">
        <f>IF($C205="","",IFERROR(INDEX(CA_TG,MATCH(B205,DS_CA,0))-INDEX(CA_NGHI,MATCH(B205,DS_CA,0))-SUMIFS('3 Nhật ký dừng máy'!$I$6:$I$1005,'3 Nhật ký dừng máy'!$A$6:$A$1005,$A205,'3 Nhật ký dừng máy'!$B$6:$B$1005,$B205,'3 Nhật ký dừng máy'!$C$6:$C$1005,$C205,'3 Nhật ký dừng máy'!$K$6:$K$1005,"Có kế hoạch"),"?"))</f>
        <v/>
      </c>
      <c r="Q205" s="28" t="str">
        <f>IF($C205="","",SUMIFS('3 Nhật ký dừng máy'!$I$6:$I$1005,'3 Nhật ký dừng máy'!$A$6:$A$1005,$A205,'3 Nhật ký dừng máy'!$B$6:$B$1005,$B205,'3 Nhật ký dừng máy'!$C$6:$C$1005,$C205,'3 Nhật ký dừng máy'!$K$6:$K$1005,"Ngoài kế hoạch"))</f>
        <v/>
      </c>
      <c r="R205" s="30" t="str">
        <f>IF($C205="","",COUNTIFS('3 Nhật ký dừng máy'!$A$6:$A$1005,$A205,'3 Nhật ký dừng máy'!$B$6:$B$1005,$B205,'3 Nhật ký dừng máy'!$C$6:$C$1005,$C205,'3 Nhật ký dừng máy'!$K$6:$K$1005,"Ngoài kế hoạch"))</f>
        <v/>
      </c>
      <c r="S205" s="31" t="str">
        <f t="shared" si="37"/>
        <v/>
      </c>
      <c r="T205" s="31" t="str">
        <f t="shared" si="38"/>
        <v/>
      </c>
      <c r="U205" s="31" t="str">
        <f t="shared" si="39"/>
        <v/>
      </c>
      <c r="V205" s="32" t="str">
        <f t="shared" si="40"/>
        <v/>
      </c>
      <c r="W205" s="30" t="str">
        <f t="shared" si="41"/>
        <v/>
      </c>
      <c r="X205" s="33" t="str">
        <f t="shared" si="42"/>
        <v/>
      </c>
      <c r="Y205" s="34" t="str">
        <f t="shared" si="43"/>
        <v/>
      </c>
    </row>
    <row r="206" spans="1:25" x14ac:dyDescent="0.2">
      <c r="A206" s="35"/>
      <c r="B206" s="21"/>
      <c r="C206" s="18"/>
      <c r="D206" s="21"/>
      <c r="E206" s="21"/>
      <c r="F206" s="21"/>
      <c r="G206" s="36"/>
      <c r="H206" s="36"/>
      <c r="I206" s="36"/>
      <c r="J206" s="37"/>
      <c r="K206" s="18"/>
      <c r="L206" s="28" t="str">
        <f t="shared" si="33"/>
        <v/>
      </c>
      <c r="M206" s="29" t="str">
        <f t="shared" si="34"/>
        <v/>
      </c>
      <c r="N206" s="29" t="str">
        <f t="shared" si="35"/>
        <v/>
      </c>
      <c r="O206" s="30" t="str">
        <f t="shared" si="36"/>
        <v/>
      </c>
      <c r="P206" s="28" t="str">
        <f>IF($C206="","",IFERROR(INDEX(CA_TG,MATCH(B206,DS_CA,0))-INDEX(CA_NGHI,MATCH(B206,DS_CA,0))-SUMIFS('3 Nhật ký dừng máy'!$I$6:$I$1005,'3 Nhật ký dừng máy'!$A$6:$A$1005,$A206,'3 Nhật ký dừng máy'!$B$6:$B$1005,$B206,'3 Nhật ký dừng máy'!$C$6:$C$1005,$C206,'3 Nhật ký dừng máy'!$K$6:$K$1005,"Có kế hoạch"),"?"))</f>
        <v/>
      </c>
      <c r="Q206" s="28" t="str">
        <f>IF($C206="","",SUMIFS('3 Nhật ký dừng máy'!$I$6:$I$1005,'3 Nhật ký dừng máy'!$A$6:$A$1005,$A206,'3 Nhật ký dừng máy'!$B$6:$B$1005,$B206,'3 Nhật ký dừng máy'!$C$6:$C$1005,$C206,'3 Nhật ký dừng máy'!$K$6:$K$1005,"Ngoài kế hoạch"))</f>
        <v/>
      </c>
      <c r="R206" s="30" t="str">
        <f>IF($C206="","",COUNTIFS('3 Nhật ký dừng máy'!$A$6:$A$1005,$A206,'3 Nhật ký dừng máy'!$B$6:$B$1005,$B206,'3 Nhật ký dừng máy'!$C$6:$C$1005,$C206,'3 Nhật ký dừng máy'!$K$6:$K$1005,"Ngoài kế hoạch"))</f>
        <v/>
      </c>
      <c r="S206" s="31" t="str">
        <f t="shared" si="37"/>
        <v/>
      </c>
      <c r="T206" s="31" t="str">
        <f t="shared" si="38"/>
        <v/>
      </c>
      <c r="U206" s="31" t="str">
        <f t="shared" si="39"/>
        <v/>
      </c>
      <c r="V206" s="32" t="str">
        <f t="shared" si="40"/>
        <v/>
      </c>
      <c r="W206" s="30" t="str">
        <f t="shared" si="41"/>
        <v/>
      </c>
      <c r="X206" s="33" t="str">
        <f t="shared" si="42"/>
        <v/>
      </c>
      <c r="Y206" s="34" t="str">
        <f t="shared" si="43"/>
        <v/>
      </c>
    </row>
    <row r="207" spans="1:25" x14ac:dyDescent="0.2">
      <c r="A207" s="35"/>
      <c r="B207" s="21"/>
      <c r="C207" s="18"/>
      <c r="D207" s="21"/>
      <c r="E207" s="21"/>
      <c r="F207" s="21"/>
      <c r="G207" s="36"/>
      <c r="H207" s="36"/>
      <c r="I207" s="36"/>
      <c r="J207" s="37"/>
      <c r="K207" s="18"/>
      <c r="L207" s="28" t="str">
        <f t="shared" si="33"/>
        <v/>
      </c>
      <c r="M207" s="29" t="str">
        <f t="shared" si="34"/>
        <v/>
      </c>
      <c r="N207" s="29" t="str">
        <f t="shared" si="35"/>
        <v/>
      </c>
      <c r="O207" s="30" t="str">
        <f t="shared" si="36"/>
        <v/>
      </c>
      <c r="P207" s="28" t="str">
        <f>IF($C207="","",IFERROR(INDEX(CA_TG,MATCH(B207,DS_CA,0))-INDEX(CA_NGHI,MATCH(B207,DS_CA,0))-SUMIFS('3 Nhật ký dừng máy'!$I$6:$I$1005,'3 Nhật ký dừng máy'!$A$6:$A$1005,$A207,'3 Nhật ký dừng máy'!$B$6:$B$1005,$B207,'3 Nhật ký dừng máy'!$C$6:$C$1005,$C207,'3 Nhật ký dừng máy'!$K$6:$K$1005,"Có kế hoạch"),"?"))</f>
        <v/>
      </c>
      <c r="Q207" s="28" t="str">
        <f>IF($C207="","",SUMIFS('3 Nhật ký dừng máy'!$I$6:$I$1005,'3 Nhật ký dừng máy'!$A$6:$A$1005,$A207,'3 Nhật ký dừng máy'!$B$6:$B$1005,$B207,'3 Nhật ký dừng máy'!$C$6:$C$1005,$C207,'3 Nhật ký dừng máy'!$K$6:$K$1005,"Ngoài kế hoạch"))</f>
        <v/>
      </c>
      <c r="R207" s="30" t="str">
        <f>IF($C207="","",COUNTIFS('3 Nhật ký dừng máy'!$A$6:$A$1005,$A207,'3 Nhật ký dừng máy'!$B$6:$B$1005,$B207,'3 Nhật ký dừng máy'!$C$6:$C$1005,$C207,'3 Nhật ký dừng máy'!$K$6:$K$1005,"Ngoài kế hoạch"))</f>
        <v/>
      </c>
      <c r="S207" s="31" t="str">
        <f t="shared" si="37"/>
        <v/>
      </c>
      <c r="T207" s="31" t="str">
        <f t="shared" si="38"/>
        <v/>
      </c>
      <c r="U207" s="31" t="str">
        <f t="shared" si="39"/>
        <v/>
      </c>
      <c r="V207" s="32" t="str">
        <f t="shared" si="40"/>
        <v/>
      </c>
      <c r="W207" s="30" t="str">
        <f t="shared" si="41"/>
        <v/>
      </c>
      <c r="X207" s="33" t="str">
        <f t="shared" si="42"/>
        <v/>
      </c>
      <c r="Y207" s="34" t="str">
        <f t="shared" si="43"/>
        <v/>
      </c>
    </row>
    <row r="208" spans="1:25" x14ac:dyDescent="0.2">
      <c r="A208" s="35"/>
      <c r="B208" s="21"/>
      <c r="C208" s="18"/>
      <c r="D208" s="21"/>
      <c r="E208" s="21"/>
      <c r="F208" s="21"/>
      <c r="G208" s="36"/>
      <c r="H208" s="36"/>
      <c r="I208" s="36"/>
      <c r="J208" s="37"/>
      <c r="K208" s="18"/>
      <c r="L208" s="28" t="str">
        <f t="shared" si="33"/>
        <v/>
      </c>
      <c r="M208" s="29" t="str">
        <f t="shared" si="34"/>
        <v/>
      </c>
      <c r="N208" s="29" t="str">
        <f t="shared" si="35"/>
        <v/>
      </c>
      <c r="O208" s="30" t="str">
        <f t="shared" si="36"/>
        <v/>
      </c>
      <c r="P208" s="28" t="str">
        <f>IF($C208="","",IFERROR(INDEX(CA_TG,MATCH(B208,DS_CA,0))-INDEX(CA_NGHI,MATCH(B208,DS_CA,0))-SUMIFS('3 Nhật ký dừng máy'!$I$6:$I$1005,'3 Nhật ký dừng máy'!$A$6:$A$1005,$A208,'3 Nhật ký dừng máy'!$B$6:$B$1005,$B208,'3 Nhật ký dừng máy'!$C$6:$C$1005,$C208,'3 Nhật ký dừng máy'!$K$6:$K$1005,"Có kế hoạch"),"?"))</f>
        <v/>
      </c>
      <c r="Q208" s="28" t="str">
        <f>IF($C208="","",SUMIFS('3 Nhật ký dừng máy'!$I$6:$I$1005,'3 Nhật ký dừng máy'!$A$6:$A$1005,$A208,'3 Nhật ký dừng máy'!$B$6:$B$1005,$B208,'3 Nhật ký dừng máy'!$C$6:$C$1005,$C208,'3 Nhật ký dừng máy'!$K$6:$K$1005,"Ngoài kế hoạch"))</f>
        <v/>
      </c>
      <c r="R208" s="30" t="str">
        <f>IF($C208="","",COUNTIFS('3 Nhật ký dừng máy'!$A$6:$A$1005,$A208,'3 Nhật ký dừng máy'!$B$6:$B$1005,$B208,'3 Nhật ký dừng máy'!$C$6:$C$1005,$C208,'3 Nhật ký dừng máy'!$K$6:$K$1005,"Ngoài kế hoạch"))</f>
        <v/>
      </c>
      <c r="S208" s="31" t="str">
        <f t="shared" si="37"/>
        <v/>
      </c>
      <c r="T208" s="31" t="str">
        <f t="shared" si="38"/>
        <v/>
      </c>
      <c r="U208" s="31" t="str">
        <f t="shared" si="39"/>
        <v/>
      </c>
      <c r="V208" s="32" t="str">
        <f t="shared" si="40"/>
        <v/>
      </c>
      <c r="W208" s="30" t="str">
        <f t="shared" si="41"/>
        <v/>
      </c>
      <c r="X208" s="33" t="str">
        <f t="shared" si="42"/>
        <v/>
      </c>
      <c r="Y208" s="34" t="str">
        <f t="shared" si="43"/>
        <v/>
      </c>
    </row>
    <row r="209" spans="1:25" x14ac:dyDescent="0.2">
      <c r="A209" s="35"/>
      <c r="B209" s="21"/>
      <c r="C209" s="18"/>
      <c r="D209" s="21"/>
      <c r="E209" s="21"/>
      <c r="F209" s="21"/>
      <c r="G209" s="36"/>
      <c r="H209" s="36"/>
      <c r="I209" s="36"/>
      <c r="J209" s="37"/>
      <c r="K209" s="18"/>
      <c r="L209" s="28" t="str">
        <f t="shared" si="33"/>
        <v/>
      </c>
      <c r="M209" s="29" t="str">
        <f t="shared" si="34"/>
        <v/>
      </c>
      <c r="N209" s="29" t="str">
        <f t="shared" si="35"/>
        <v/>
      </c>
      <c r="O209" s="30" t="str">
        <f t="shared" si="36"/>
        <v/>
      </c>
      <c r="P209" s="28" t="str">
        <f>IF($C209="","",IFERROR(INDEX(CA_TG,MATCH(B209,DS_CA,0))-INDEX(CA_NGHI,MATCH(B209,DS_CA,0))-SUMIFS('3 Nhật ký dừng máy'!$I$6:$I$1005,'3 Nhật ký dừng máy'!$A$6:$A$1005,$A209,'3 Nhật ký dừng máy'!$B$6:$B$1005,$B209,'3 Nhật ký dừng máy'!$C$6:$C$1005,$C209,'3 Nhật ký dừng máy'!$K$6:$K$1005,"Có kế hoạch"),"?"))</f>
        <v/>
      </c>
      <c r="Q209" s="28" t="str">
        <f>IF($C209="","",SUMIFS('3 Nhật ký dừng máy'!$I$6:$I$1005,'3 Nhật ký dừng máy'!$A$6:$A$1005,$A209,'3 Nhật ký dừng máy'!$B$6:$B$1005,$B209,'3 Nhật ký dừng máy'!$C$6:$C$1005,$C209,'3 Nhật ký dừng máy'!$K$6:$K$1005,"Ngoài kế hoạch"))</f>
        <v/>
      </c>
      <c r="R209" s="30" t="str">
        <f>IF($C209="","",COUNTIFS('3 Nhật ký dừng máy'!$A$6:$A$1005,$A209,'3 Nhật ký dừng máy'!$B$6:$B$1005,$B209,'3 Nhật ký dừng máy'!$C$6:$C$1005,$C209,'3 Nhật ký dừng máy'!$K$6:$K$1005,"Ngoài kế hoạch"))</f>
        <v/>
      </c>
      <c r="S209" s="31" t="str">
        <f t="shared" si="37"/>
        <v/>
      </c>
      <c r="T209" s="31" t="str">
        <f t="shared" si="38"/>
        <v/>
      </c>
      <c r="U209" s="31" t="str">
        <f t="shared" si="39"/>
        <v/>
      </c>
      <c r="V209" s="32" t="str">
        <f t="shared" si="40"/>
        <v/>
      </c>
      <c r="W209" s="30" t="str">
        <f t="shared" si="41"/>
        <v/>
      </c>
      <c r="X209" s="33" t="str">
        <f t="shared" si="42"/>
        <v/>
      </c>
      <c r="Y209" s="34" t="str">
        <f t="shared" si="43"/>
        <v/>
      </c>
    </row>
    <row r="210" spans="1:25" x14ac:dyDescent="0.2">
      <c r="A210" s="35"/>
      <c r="B210" s="21"/>
      <c r="C210" s="18"/>
      <c r="D210" s="21"/>
      <c r="E210" s="21"/>
      <c r="F210" s="21"/>
      <c r="G210" s="36"/>
      <c r="H210" s="36"/>
      <c r="I210" s="36"/>
      <c r="J210" s="37"/>
      <c r="K210" s="18"/>
      <c r="L210" s="28" t="str">
        <f t="shared" si="33"/>
        <v/>
      </c>
      <c r="M210" s="29" t="str">
        <f t="shared" si="34"/>
        <v/>
      </c>
      <c r="N210" s="29" t="str">
        <f t="shared" si="35"/>
        <v/>
      </c>
      <c r="O210" s="30" t="str">
        <f t="shared" si="36"/>
        <v/>
      </c>
      <c r="P210" s="28" t="str">
        <f>IF($C210="","",IFERROR(INDEX(CA_TG,MATCH(B210,DS_CA,0))-INDEX(CA_NGHI,MATCH(B210,DS_CA,0))-SUMIFS('3 Nhật ký dừng máy'!$I$6:$I$1005,'3 Nhật ký dừng máy'!$A$6:$A$1005,$A210,'3 Nhật ký dừng máy'!$B$6:$B$1005,$B210,'3 Nhật ký dừng máy'!$C$6:$C$1005,$C210,'3 Nhật ký dừng máy'!$K$6:$K$1005,"Có kế hoạch"),"?"))</f>
        <v/>
      </c>
      <c r="Q210" s="28" t="str">
        <f>IF($C210="","",SUMIFS('3 Nhật ký dừng máy'!$I$6:$I$1005,'3 Nhật ký dừng máy'!$A$6:$A$1005,$A210,'3 Nhật ký dừng máy'!$B$6:$B$1005,$B210,'3 Nhật ký dừng máy'!$C$6:$C$1005,$C210,'3 Nhật ký dừng máy'!$K$6:$K$1005,"Ngoài kế hoạch"))</f>
        <v/>
      </c>
      <c r="R210" s="30" t="str">
        <f>IF($C210="","",COUNTIFS('3 Nhật ký dừng máy'!$A$6:$A$1005,$A210,'3 Nhật ký dừng máy'!$B$6:$B$1005,$B210,'3 Nhật ký dừng máy'!$C$6:$C$1005,$C210,'3 Nhật ký dừng máy'!$K$6:$K$1005,"Ngoài kế hoạch"))</f>
        <v/>
      </c>
      <c r="S210" s="31" t="str">
        <f t="shared" si="37"/>
        <v/>
      </c>
      <c r="T210" s="31" t="str">
        <f t="shared" si="38"/>
        <v/>
      </c>
      <c r="U210" s="31" t="str">
        <f t="shared" si="39"/>
        <v/>
      </c>
      <c r="V210" s="32" t="str">
        <f t="shared" si="40"/>
        <v/>
      </c>
      <c r="W210" s="30" t="str">
        <f t="shared" si="41"/>
        <v/>
      </c>
      <c r="X210" s="33" t="str">
        <f t="shared" si="42"/>
        <v/>
      </c>
      <c r="Y210" s="34" t="str">
        <f t="shared" si="43"/>
        <v/>
      </c>
    </row>
    <row r="211" spans="1:25" x14ac:dyDescent="0.2">
      <c r="A211" s="35"/>
      <c r="B211" s="21"/>
      <c r="C211" s="18"/>
      <c r="D211" s="21"/>
      <c r="E211" s="21"/>
      <c r="F211" s="21"/>
      <c r="G211" s="36"/>
      <c r="H211" s="36"/>
      <c r="I211" s="36"/>
      <c r="J211" s="37"/>
      <c r="K211" s="18"/>
      <c r="L211" s="28" t="str">
        <f t="shared" si="33"/>
        <v/>
      </c>
      <c r="M211" s="29" t="str">
        <f t="shared" si="34"/>
        <v/>
      </c>
      <c r="N211" s="29" t="str">
        <f t="shared" si="35"/>
        <v/>
      </c>
      <c r="O211" s="30" t="str">
        <f t="shared" si="36"/>
        <v/>
      </c>
      <c r="P211" s="28" t="str">
        <f>IF($C211="","",IFERROR(INDEX(CA_TG,MATCH(B211,DS_CA,0))-INDEX(CA_NGHI,MATCH(B211,DS_CA,0))-SUMIFS('3 Nhật ký dừng máy'!$I$6:$I$1005,'3 Nhật ký dừng máy'!$A$6:$A$1005,$A211,'3 Nhật ký dừng máy'!$B$6:$B$1005,$B211,'3 Nhật ký dừng máy'!$C$6:$C$1005,$C211,'3 Nhật ký dừng máy'!$K$6:$K$1005,"Có kế hoạch"),"?"))</f>
        <v/>
      </c>
      <c r="Q211" s="28" t="str">
        <f>IF($C211="","",SUMIFS('3 Nhật ký dừng máy'!$I$6:$I$1005,'3 Nhật ký dừng máy'!$A$6:$A$1005,$A211,'3 Nhật ký dừng máy'!$B$6:$B$1005,$B211,'3 Nhật ký dừng máy'!$C$6:$C$1005,$C211,'3 Nhật ký dừng máy'!$K$6:$K$1005,"Ngoài kế hoạch"))</f>
        <v/>
      </c>
      <c r="R211" s="30" t="str">
        <f>IF($C211="","",COUNTIFS('3 Nhật ký dừng máy'!$A$6:$A$1005,$A211,'3 Nhật ký dừng máy'!$B$6:$B$1005,$B211,'3 Nhật ký dừng máy'!$C$6:$C$1005,$C211,'3 Nhật ký dừng máy'!$K$6:$K$1005,"Ngoài kế hoạch"))</f>
        <v/>
      </c>
      <c r="S211" s="31" t="str">
        <f t="shared" si="37"/>
        <v/>
      </c>
      <c r="T211" s="31" t="str">
        <f t="shared" si="38"/>
        <v/>
      </c>
      <c r="U211" s="31" t="str">
        <f t="shared" si="39"/>
        <v/>
      </c>
      <c r="V211" s="32" t="str">
        <f t="shared" si="40"/>
        <v/>
      </c>
      <c r="W211" s="30" t="str">
        <f t="shared" si="41"/>
        <v/>
      </c>
      <c r="X211" s="33" t="str">
        <f t="shared" si="42"/>
        <v/>
      </c>
      <c r="Y211" s="34" t="str">
        <f t="shared" si="43"/>
        <v/>
      </c>
    </row>
    <row r="212" spans="1:25" x14ac:dyDescent="0.2">
      <c r="A212" s="35"/>
      <c r="B212" s="21"/>
      <c r="C212" s="18"/>
      <c r="D212" s="21"/>
      <c r="E212" s="21"/>
      <c r="F212" s="21"/>
      <c r="G212" s="36"/>
      <c r="H212" s="36"/>
      <c r="I212" s="36"/>
      <c r="J212" s="37"/>
      <c r="K212" s="18"/>
      <c r="L212" s="28" t="str">
        <f t="shared" si="33"/>
        <v/>
      </c>
      <c r="M212" s="29" t="str">
        <f t="shared" si="34"/>
        <v/>
      </c>
      <c r="N212" s="29" t="str">
        <f t="shared" si="35"/>
        <v/>
      </c>
      <c r="O212" s="30" t="str">
        <f t="shared" si="36"/>
        <v/>
      </c>
      <c r="P212" s="28" t="str">
        <f>IF($C212="","",IFERROR(INDEX(CA_TG,MATCH(B212,DS_CA,0))-INDEX(CA_NGHI,MATCH(B212,DS_CA,0))-SUMIFS('3 Nhật ký dừng máy'!$I$6:$I$1005,'3 Nhật ký dừng máy'!$A$6:$A$1005,$A212,'3 Nhật ký dừng máy'!$B$6:$B$1005,$B212,'3 Nhật ký dừng máy'!$C$6:$C$1005,$C212,'3 Nhật ký dừng máy'!$K$6:$K$1005,"Có kế hoạch"),"?"))</f>
        <v/>
      </c>
      <c r="Q212" s="28" t="str">
        <f>IF($C212="","",SUMIFS('3 Nhật ký dừng máy'!$I$6:$I$1005,'3 Nhật ký dừng máy'!$A$6:$A$1005,$A212,'3 Nhật ký dừng máy'!$B$6:$B$1005,$B212,'3 Nhật ký dừng máy'!$C$6:$C$1005,$C212,'3 Nhật ký dừng máy'!$K$6:$K$1005,"Ngoài kế hoạch"))</f>
        <v/>
      </c>
      <c r="R212" s="30" t="str">
        <f>IF($C212="","",COUNTIFS('3 Nhật ký dừng máy'!$A$6:$A$1005,$A212,'3 Nhật ký dừng máy'!$B$6:$B$1005,$B212,'3 Nhật ký dừng máy'!$C$6:$C$1005,$C212,'3 Nhật ký dừng máy'!$K$6:$K$1005,"Ngoài kế hoạch"))</f>
        <v/>
      </c>
      <c r="S212" s="31" t="str">
        <f t="shared" si="37"/>
        <v/>
      </c>
      <c r="T212" s="31" t="str">
        <f t="shared" si="38"/>
        <v/>
      </c>
      <c r="U212" s="31" t="str">
        <f t="shared" si="39"/>
        <v/>
      </c>
      <c r="V212" s="32" t="str">
        <f t="shared" si="40"/>
        <v/>
      </c>
      <c r="W212" s="30" t="str">
        <f t="shared" si="41"/>
        <v/>
      </c>
      <c r="X212" s="33" t="str">
        <f t="shared" si="42"/>
        <v/>
      </c>
      <c r="Y212" s="34" t="str">
        <f t="shared" si="43"/>
        <v/>
      </c>
    </row>
    <row r="213" spans="1:25" x14ac:dyDescent="0.2">
      <c r="A213" s="35"/>
      <c r="B213" s="21"/>
      <c r="C213" s="18"/>
      <c r="D213" s="21"/>
      <c r="E213" s="21"/>
      <c r="F213" s="21"/>
      <c r="G213" s="36"/>
      <c r="H213" s="36"/>
      <c r="I213" s="36"/>
      <c r="J213" s="37"/>
      <c r="K213" s="18"/>
      <c r="L213" s="28" t="str">
        <f t="shared" si="33"/>
        <v/>
      </c>
      <c r="M213" s="29" t="str">
        <f t="shared" si="34"/>
        <v/>
      </c>
      <c r="N213" s="29" t="str">
        <f t="shared" si="35"/>
        <v/>
      </c>
      <c r="O213" s="30" t="str">
        <f t="shared" si="36"/>
        <v/>
      </c>
      <c r="P213" s="28" t="str">
        <f>IF($C213="","",IFERROR(INDEX(CA_TG,MATCH(B213,DS_CA,0))-INDEX(CA_NGHI,MATCH(B213,DS_CA,0))-SUMIFS('3 Nhật ký dừng máy'!$I$6:$I$1005,'3 Nhật ký dừng máy'!$A$6:$A$1005,$A213,'3 Nhật ký dừng máy'!$B$6:$B$1005,$B213,'3 Nhật ký dừng máy'!$C$6:$C$1005,$C213,'3 Nhật ký dừng máy'!$K$6:$K$1005,"Có kế hoạch"),"?"))</f>
        <v/>
      </c>
      <c r="Q213" s="28" t="str">
        <f>IF($C213="","",SUMIFS('3 Nhật ký dừng máy'!$I$6:$I$1005,'3 Nhật ký dừng máy'!$A$6:$A$1005,$A213,'3 Nhật ký dừng máy'!$B$6:$B$1005,$B213,'3 Nhật ký dừng máy'!$C$6:$C$1005,$C213,'3 Nhật ký dừng máy'!$K$6:$K$1005,"Ngoài kế hoạch"))</f>
        <v/>
      </c>
      <c r="R213" s="30" t="str">
        <f>IF($C213="","",COUNTIFS('3 Nhật ký dừng máy'!$A$6:$A$1005,$A213,'3 Nhật ký dừng máy'!$B$6:$B$1005,$B213,'3 Nhật ký dừng máy'!$C$6:$C$1005,$C213,'3 Nhật ký dừng máy'!$K$6:$K$1005,"Ngoài kế hoạch"))</f>
        <v/>
      </c>
      <c r="S213" s="31" t="str">
        <f t="shared" si="37"/>
        <v/>
      </c>
      <c r="T213" s="31" t="str">
        <f t="shared" si="38"/>
        <v/>
      </c>
      <c r="U213" s="31" t="str">
        <f t="shared" si="39"/>
        <v/>
      </c>
      <c r="V213" s="32" t="str">
        <f t="shared" si="40"/>
        <v/>
      </c>
      <c r="W213" s="30" t="str">
        <f t="shared" si="41"/>
        <v/>
      </c>
      <c r="X213" s="33" t="str">
        <f t="shared" si="42"/>
        <v/>
      </c>
      <c r="Y213" s="34" t="str">
        <f t="shared" si="43"/>
        <v/>
      </c>
    </row>
    <row r="214" spans="1:25" x14ac:dyDescent="0.2">
      <c r="A214" s="35"/>
      <c r="B214" s="21"/>
      <c r="C214" s="18"/>
      <c r="D214" s="21"/>
      <c r="E214" s="21"/>
      <c r="F214" s="21"/>
      <c r="G214" s="36"/>
      <c r="H214" s="36"/>
      <c r="I214" s="36"/>
      <c r="J214" s="37"/>
      <c r="K214" s="18"/>
      <c r="L214" s="28" t="str">
        <f t="shared" si="33"/>
        <v/>
      </c>
      <c r="M214" s="29" t="str">
        <f t="shared" si="34"/>
        <v/>
      </c>
      <c r="N214" s="29" t="str">
        <f t="shared" si="35"/>
        <v/>
      </c>
      <c r="O214" s="30" t="str">
        <f t="shared" si="36"/>
        <v/>
      </c>
      <c r="P214" s="28" t="str">
        <f>IF($C214="","",IFERROR(INDEX(CA_TG,MATCH(B214,DS_CA,0))-INDEX(CA_NGHI,MATCH(B214,DS_CA,0))-SUMIFS('3 Nhật ký dừng máy'!$I$6:$I$1005,'3 Nhật ký dừng máy'!$A$6:$A$1005,$A214,'3 Nhật ký dừng máy'!$B$6:$B$1005,$B214,'3 Nhật ký dừng máy'!$C$6:$C$1005,$C214,'3 Nhật ký dừng máy'!$K$6:$K$1005,"Có kế hoạch"),"?"))</f>
        <v/>
      </c>
      <c r="Q214" s="28" t="str">
        <f>IF($C214="","",SUMIFS('3 Nhật ký dừng máy'!$I$6:$I$1005,'3 Nhật ký dừng máy'!$A$6:$A$1005,$A214,'3 Nhật ký dừng máy'!$B$6:$B$1005,$B214,'3 Nhật ký dừng máy'!$C$6:$C$1005,$C214,'3 Nhật ký dừng máy'!$K$6:$K$1005,"Ngoài kế hoạch"))</f>
        <v/>
      </c>
      <c r="R214" s="30" t="str">
        <f>IF($C214="","",COUNTIFS('3 Nhật ký dừng máy'!$A$6:$A$1005,$A214,'3 Nhật ký dừng máy'!$B$6:$B$1005,$B214,'3 Nhật ký dừng máy'!$C$6:$C$1005,$C214,'3 Nhật ký dừng máy'!$K$6:$K$1005,"Ngoài kế hoạch"))</f>
        <v/>
      </c>
      <c r="S214" s="31" t="str">
        <f t="shared" si="37"/>
        <v/>
      </c>
      <c r="T214" s="31" t="str">
        <f t="shared" si="38"/>
        <v/>
      </c>
      <c r="U214" s="31" t="str">
        <f t="shared" si="39"/>
        <v/>
      </c>
      <c r="V214" s="32" t="str">
        <f t="shared" si="40"/>
        <v/>
      </c>
      <c r="W214" s="30" t="str">
        <f t="shared" si="41"/>
        <v/>
      </c>
      <c r="X214" s="33" t="str">
        <f t="shared" si="42"/>
        <v/>
      </c>
      <c r="Y214" s="34" t="str">
        <f t="shared" si="43"/>
        <v/>
      </c>
    </row>
    <row r="215" spans="1:25" x14ac:dyDescent="0.2">
      <c r="A215" s="35"/>
      <c r="B215" s="21"/>
      <c r="C215" s="18"/>
      <c r="D215" s="21"/>
      <c r="E215" s="21"/>
      <c r="F215" s="21"/>
      <c r="G215" s="36"/>
      <c r="H215" s="36"/>
      <c r="I215" s="36"/>
      <c r="J215" s="37"/>
      <c r="K215" s="18"/>
      <c r="L215" s="28" t="str">
        <f t="shared" si="33"/>
        <v/>
      </c>
      <c r="M215" s="29" t="str">
        <f t="shared" si="34"/>
        <v/>
      </c>
      <c r="N215" s="29" t="str">
        <f t="shared" si="35"/>
        <v/>
      </c>
      <c r="O215" s="30" t="str">
        <f t="shared" si="36"/>
        <v/>
      </c>
      <c r="P215" s="28" t="str">
        <f>IF($C215="","",IFERROR(INDEX(CA_TG,MATCH(B215,DS_CA,0))-INDEX(CA_NGHI,MATCH(B215,DS_CA,0))-SUMIFS('3 Nhật ký dừng máy'!$I$6:$I$1005,'3 Nhật ký dừng máy'!$A$6:$A$1005,$A215,'3 Nhật ký dừng máy'!$B$6:$B$1005,$B215,'3 Nhật ký dừng máy'!$C$6:$C$1005,$C215,'3 Nhật ký dừng máy'!$K$6:$K$1005,"Có kế hoạch"),"?"))</f>
        <v/>
      </c>
      <c r="Q215" s="28" t="str">
        <f>IF($C215="","",SUMIFS('3 Nhật ký dừng máy'!$I$6:$I$1005,'3 Nhật ký dừng máy'!$A$6:$A$1005,$A215,'3 Nhật ký dừng máy'!$B$6:$B$1005,$B215,'3 Nhật ký dừng máy'!$C$6:$C$1005,$C215,'3 Nhật ký dừng máy'!$K$6:$K$1005,"Ngoài kế hoạch"))</f>
        <v/>
      </c>
      <c r="R215" s="30" t="str">
        <f>IF($C215="","",COUNTIFS('3 Nhật ký dừng máy'!$A$6:$A$1005,$A215,'3 Nhật ký dừng máy'!$B$6:$B$1005,$B215,'3 Nhật ký dừng máy'!$C$6:$C$1005,$C215,'3 Nhật ký dừng máy'!$K$6:$K$1005,"Ngoài kế hoạch"))</f>
        <v/>
      </c>
      <c r="S215" s="31" t="str">
        <f t="shared" si="37"/>
        <v/>
      </c>
      <c r="T215" s="31" t="str">
        <f t="shared" si="38"/>
        <v/>
      </c>
      <c r="U215" s="31" t="str">
        <f t="shared" si="39"/>
        <v/>
      </c>
      <c r="V215" s="32" t="str">
        <f t="shared" si="40"/>
        <v/>
      </c>
      <c r="W215" s="30" t="str">
        <f t="shared" si="41"/>
        <v/>
      </c>
      <c r="X215" s="33" t="str">
        <f t="shared" si="42"/>
        <v/>
      </c>
      <c r="Y215" s="34" t="str">
        <f t="shared" si="43"/>
        <v/>
      </c>
    </row>
    <row r="216" spans="1:25" x14ac:dyDescent="0.2">
      <c r="A216" s="35"/>
      <c r="B216" s="21"/>
      <c r="C216" s="18"/>
      <c r="D216" s="21"/>
      <c r="E216" s="21"/>
      <c r="F216" s="21"/>
      <c r="G216" s="36"/>
      <c r="H216" s="36"/>
      <c r="I216" s="36"/>
      <c r="J216" s="37"/>
      <c r="K216" s="18"/>
      <c r="L216" s="28" t="str">
        <f t="shared" si="33"/>
        <v/>
      </c>
      <c r="M216" s="29" t="str">
        <f t="shared" si="34"/>
        <v/>
      </c>
      <c r="N216" s="29" t="str">
        <f t="shared" si="35"/>
        <v/>
      </c>
      <c r="O216" s="30" t="str">
        <f t="shared" si="36"/>
        <v/>
      </c>
      <c r="P216" s="28" t="str">
        <f>IF($C216="","",IFERROR(INDEX(CA_TG,MATCH(B216,DS_CA,0))-INDEX(CA_NGHI,MATCH(B216,DS_CA,0))-SUMIFS('3 Nhật ký dừng máy'!$I$6:$I$1005,'3 Nhật ký dừng máy'!$A$6:$A$1005,$A216,'3 Nhật ký dừng máy'!$B$6:$B$1005,$B216,'3 Nhật ký dừng máy'!$C$6:$C$1005,$C216,'3 Nhật ký dừng máy'!$K$6:$K$1005,"Có kế hoạch"),"?"))</f>
        <v/>
      </c>
      <c r="Q216" s="28" t="str">
        <f>IF($C216="","",SUMIFS('3 Nhật ký dừng máy'!$I$6:$I$1005,'3 Nhật ký dừng máy'!$A$6:$A$1005,$A216,'3 Nhật ký dừng máy'!$B$6:$B$1005,$B216,'3 Nhật ký dừng máy'!$C$6:$C$1005,$C216,'3 Nhật ký dừng máy'!$K$6:$K$1005,"Ngoài kế hoạch"))</f>
        <v/>
      </c>
      <c r="R216" s="30" t="str">
        <f>IF($C216="","",COUNTIFS('3 Nhật ký dừng máy'!$A$6:$A$1005,$A216,'3 Nhật ký dừng máy'!$B$6:$B$1005,$B216,'3 Nhật ký dừng máy'!$C$6:$C$1005,$C216,'3 Nhật ký dừng máy'!$K$6:$K$1005,"Ngoài kế hoạch"))</f>
        <v/>
      </c>
      <c r="S216" s="31" t="str">
        <f t="shared" si="37"/>
        <v/>
      </c>
      <c r="T216" s="31" t="str">
        <f t="shared" si="38"/>
        <v/>
      </c>
      <c r="U216" s="31" t="str">
        <f t="shared" si="39"/>
        <v/>
      </c>
      <c r="V216" s="32" t="str">
        <f t="shared" si="40"/>
        <v/>
      </c>
      <c r="W216" s="30" t="str">
        <f t="shared" si="41"/>
        <v/>
      </c>
      <c r="X216" s="33" t="str">
        <f t="shared" si="42"/>
        <v/>
      </c>
      <c r="Y216" s="34" t="str">
        <f t="shared" si="43"/>
        <v/>
      </c>
    </row>
    <row r="217" spans="1:25" x14ac:dyDescent="0.2">
      <c r="A217" s="35"/>
      <c r="B217" s="21"/>
      <c r="C217" s="18"/>
      <c r="D217" s="21"/>
      <c r="E217" s="21"/>
      <c r="F217" s="21"/>
      <c r="G217" s="36"/>
      <c r="H217" s="36"/>
      <c r="I217" s="36"/>
      <c r="J217" s="37"/>
      <c r="K217" s="18"/>
      <c r="L217" s="28" t="str">
        <f t="shared" si="33"/>
        <v/>
      </c>
      <c r="M217" s="29" t="str">
        <f t="shared" si="34"/>
        <v/>
      </c>
      <c r="N217" s="29" t="str">
        <f t="shared" si="35"/>
        <v/>
      </c>
      <c r="O217" s="30" t="str">
        <f t="shared" si="36"/>
        <v/>
      </c>
      <c r="P217" s="28" t="str">
        <f>IF($C217="","",IFERROR(INDEX(CA_TG,MATCH(B217,DS_CA,0))-INDEX(CA_NGHI,MATCH(B217,DS_CA,0))-SUMIFS('3 Nhật ký dừng máy'!$I$6:$I$1005,'3 Nhật ký dừng máy'!$A$6:$A$1005,$A217,'3 Nhật ký dừng máy'!$B$6:$B$1005,$B217,'3 Nhật ký dừng máy'!$C$6:$C$1005,$C217,'3 Nhật ký dừng máy'!$K$6:$K$1005,"Có kế hoạch"),"?"))</f>
        <v/>
      </c>
      <c r="Q217" s="28" t="str">
        <f>IF($C217="","",SUMIFS('3 Nhật ký dừng máy'!$I$6:$I$1005,'3 Nhật ký dừng máy'!$A$6:$A$1005,$A217,'3 Nhật ký dừng máy'!$B$6:$B$1005,$B217,'3 Nhật ký dừng máy'!$C$6:$C$1005,$C217,'3 Nhật ký dừng máy'!$K$6:$K$1005,"Ngoài kế hoạch"))</f>
        <v/>
      </c>
      <c r="R217" s="30" t="str">
        <f>IF($C217="","",COUNTIFS('3 Nhật ký dừng máy'!$A$6:$A$1005,$A217,'3 Nhật ký dừng máy'!$B$6:$B$1005,$B217,'3 Nhật ký dừng máy'!$C$6:$C$1005,$C217,'3 Nhật ký dừng máy'!$K$6:$K$1005,"Ngoài kế hoạch"))</f>
        <v/>
      </c>
      <c r="S217" s="31" t="str">
        <f t="shared" si="37"/>
        <v/>
      </c>
      <c r="T217" s="31" t="str">
        <f t="shared" si="38"/>
        <v/>
      </c>
      <c r="U217" s="31" t="str">
        <f t="shared" si="39"/>
        <v/>
      </c>
      <c r="V217" s="32" t="str">
        <f t="shared" si="40"/>
        <v/>
      </c>
      <c r="W217" s="30" t="str">
        <f t="shared" si="41"/>
        <v/>
      </c>
      <c r="X217" s="33" t="str">
        <f t="shared" si="42"/>
        <v/>
      </c>
      <c r="Y217" s="34" t="str">
        <f t="shared" si="43"/>
        <v/>
      </c>
    </row>
    <row r="218" spans="1:25" x14ac:dyDescent="0.2">
      <c r="A218" s="35"/>
      <c r="B218" s="21"/>
      <c r="C218" s="18"/>
      <c r="D218" s="21"/>
      <c r="E218" s="21"/>
      <c r="F218" s="21"/>
      <c r="G218" s="36"/>
      <c r="H218" s="36"/>
      <c r="I218" s="36"/>
      <c r="J218" s="37"/>
      <c r="K218" s="18"/>
      <c r="L218" s="28" t="str">
        <f t="shared" si="33"/>
        <v/>
      </c>
      <c r="M218" s="29" t="str">
        <f t="shared" si="34"/>
        <v/>
      </c>
      <c r="N218" s="29" t="str">
        <f t="shared" si="35"/>
        <v/>
      </c>
      <c r="O218" s="30" t="str">
        <f t="shared" si="36"/>
        <v/>
      </c>
      <c r="P218" s="28" t="str">
        <f>IF($C218="","",IFERROR(INDEX(CA_TG,MATCH(B218,DS_CA,0))-INDEX(CA_NGHI,MATCH(B218,DS_CA,0))-SUMIFS('3 Nhật ký dừng máy'!$I$6:$I$1005,'3 Nhật ký dừng máy'!$A$6:$A$1005,$A218,'3 Nhật ký dừng máy'!$B$6:$B$1005,$B218,'3 Nhật ký dừng máy'!$C$6:$C$1005,$C218,'3 Nhật ký dừng máy'!$K$6:$K$1005,"Có kế hoạch"),"?"))</f>
        <v/>
      </c>
      <c r="Q218" s="28" t="str">
        <f>IF($C218="","",SUMIFS('3 Nhật ký dừng máy'!$I$6:$I$1005,'3 Nhật ký dừng máy'!$A$6:$A$1005,$A218,'3 Nhật ký dừng máy'!$B$6:$B$1005,$B218,'3 Nhật ký dừng máy'!$C$6:$C$1005,$C218,'3 Nhật ký dừng máy'!$K$6:$K$1005,"Ngoài kế hoạch"))</f>
        <v/>
      </c>
      <c r="R218" s="30" t="str">
        <f>IF($C218="","",COUNTIFS('3 Nhật ký dừng máy'!$A$6:$A$1005,$A218,'3 Nhật ký dừng máy'!$B$6:$B$1005,$B218,'3 Nhật ký dừng máy'!$C$6:$C$1005,$C218,'3 Nhật ký dừng máy'!$K$6:$K$1005,"Ngoài kế hoạch"))</f>
        <v/>
      </c>
      <c r="S218" s="31" t="str">
        <f t="shared" si="37"/>
        <v/>
      </c>
      <c r="T218" s="31" t="str">
        <f t="shared" si="38"/>
        <v/>
      </c>
      <c r="U218" s="31" t="str">
        <f t="shared" si="39"/>
        <v/>
      </c>
      <c r="V218" s="32" t="str">
        <f t="shared" si="40"/>
        <v/>
      </c>
      <c r="W218" s="30" t="str">
        <f t="shared" si="41"/>
        <v/>
      </c>
      <c r="X218" s="33" t="str">
        <f t="shared" si="42"/>
        <v/>
      </c>
      <c r="Y218" s="34" t="str">
        <f t="shared" si="43"/>
        <v/>
      </c>
    </row>
    <row r="219" spans="1:25" x14ac:dyDescent="0.2">
      <c r="A219" s="35"/>
      <c r="B219" s="21"/>
      <c r="C219" s="18"/>
      <c r="D219" s="21"/>
      <c r="E219" s="21"/>
      <c r="F219" s="21"/>
      <c r="G219" s="36"/>
      <c r="H219" s="36"/>
      <c r="I219" s="36"/>
      <c r="J219" s="37"/>
      <c r="K219" s="18"/>
      <c r="L219" s="28" t="str">
        <f t="shared" si="33"/>
        <v/>
      </c>
      <c r="M219" s="29" t="str">
        <f t="shared" si="34"/>
        <v/>
      </c>
      <c r="N219" s="29" t="str">
        <f t="shared" si="35"/>
        <v/>
      </c>
      <c r="O219" s="30" t="str">
        <f t="shared" si="36"/>
        <v/>
      </c>
      <c r="P219" s="28" t="str">
        <f>IF($C219="","",IFERROR(INDEX(CA_TG,MATCH(B219,DS_CA,0))-INDEX(CA_NGHI,MATCH(B219,DS_CA,0))-SUMIFS('3 Nhật ký dừng máy'!$I$6:$I$1005,'3 Nhật ký dừng máy'!$A$6:$A$1005,$A219,'3 Nhật ký dừng máy'!$B$6:$B$1005,$B219,'3 Nhật ký dừng máy'!$C$6:$C$1005,$C219,'3 Nhật ký dừng máy'!$K$6:$K$1005,"Có kế hoạch"),"?"))</f>
        <v/>
      </c>
      <c r="Q219" s="28" t="str">
        <f>IF($C219="","",SUMIFS('3 Nhật ký dừng máy'!$I$6:$I$1005,'3 Nhật ký dừng máy'!$A$6:$A$1005,$A219,'3 Nhật ký dừng máy'!$B$6:$B$1005,$B219,'3 Nhật ký dừng máy'!$C$6:$C$1005,$C219,'3 Nhật ký dừng máy'!$K$6:$K$1005,"Ngoài kế hoạch"))</f>
        <v/>
      </c>
      <c r="R219" s="30" t="str">
        <f>IF($C219="","",COUNTIFS('3 Nhật ký dừng máy'!$A$6:$A$1005,$A219,'3 Nhật ký dừng máy'!$B$6:$B$1005,$B219,'3 Nhật ký dừng máy'!$C$6:$C$1005,$C219,'3 Nhật ký dừng máy'!$K$6:$K$1005,"Ngoài kế hoạch"))</f>
        <v/>
      </c>
      <c r="S219" s="31" t="str">
        <f t="shared" si="37"/>
        <v/>
      </c>
      <c r="T219" s="31" t="str">
        <f t="shared" si="38"/>
        <v/>
      </c>
      <c r="U219" s="31" t="str">
        <f t="shared" si="39"/>
        <v/>
      </c>
      <c r="V219" s="32" t="str">
        <f t="shared" si="40"/>
        <v/>
      </c>
      <c r="W219" s="30" t="str">
        <f t="shared" si="41"/>
        <v/>
      </c>
      <c r="X219" s="33" t="str">
        <f t="shared" si="42"/>
        <v/>
      </c>
      <c r="Y219" s="34" t="str">
        <f t="shared" si="43"/>
        <v/>
      </c>
    </row>
    <row r="220" spans="1:25" x14ac:dyDescent="0.2">
      <c r="A220" s="35"/>
      <c r="B220" s="21"/>
      <c r="C220" s="18"/>
      <c r="D220" s="21"/>
      <c r="E220" s="21"/>
      <c r="F220" s="21"/>
      <c r="G220" s="36"/>
      <c r="H220" s="36"/>
      <c r="I220" s="36"/>
      <c r="J220" s="37"/>
      <c r="K220" s="18"/>
      <c r="L220" s="28" t="str">
        <f t="shared" si="33"/>
        <v/>
      </c>
      <c r="M220" s="29" t="str">
        <f t="shared" si="34"/>
        <v/>
      </c>
      <c r="N220" s="29" t="str">
        <f t="shared" si="35"/>
        <v/>
      </c>
      <c r="O220" s="30" t="str">
        <f t="shared" si="36"/>
        <v/>
      </c>
      <c r="P220" s="28" t="str">
        <f>IF($C220="","",IFERROR(INDEX(CA_TG,MATCH(B220,DS_CA,0))-INDEX(CA_NGHI,MATCH(B220,DS_CA,0))-SUMIFS('3 Nhật ký dừng máy'!$I$6:$I$1005,'3 Nhật ký dừng máy'!$A$6:$A$1005,$A220,'3 Nhật ký dừng máy'!$B$6:$B$1005,$B220,'3 Nhật ký dừng máy'!$C$6:$C$1005,$C220,'3 Nhật ký dừng máy'!$K$6:$K$1005,"Có kế hoạch"),"?"))</f>
        <v/>
      </c>
      <c r="Q220" s="28" t="str">
        <f>IF($C220="","",SUMIFS('3 Nhật ký dừng máy'!$I$6:$I$1005,'3 Nhật ký dừng máy'!$A$6:$A$1005,$A220,'3 Nhật ký dừng máy'!$B$6:$B$1005,$B220,'3 Nhật ký dừng máy'!$C$6:$C$1005,$C220,'3 Nhật ký dừng máy'!$K$6:$K$1005,"Ngoài kế hoạch"))</f>
        <v/>
      </c>
      <c r="R220" s="30" t="str">
        <f>IF($C220="","",COUNTIFS('3 Nhật ký dừng máy'!$A$6:$A$1005,$A220,'3 Nhật ký dừng máy'!$B$6:$B$1005,$B220,'3 Nhật ký dừng máy'!$C$6:$C$1005,$C220,'3 Nhật ký dừng máy'!$K$6:$K$1005,"Ngoài kế hoạch"))</f>
        <v/>
      </c>
      <c r="S220" s="31" t="str">
        <f t="shared" si="37"/>
        <v/>
      </c>
      <c r="T220" s="31" t="str">
        <f t="shared" si="38"/>
        <v/>
      </c>
      <c r="U220" s="31" t="str">
        <f t="shared" si="39"/>
        <v/>
      </c>
      <c r="V220" s="32" t="str">
        <f t="shared" si="40"/>
        <v/>
      </c>
      <c r="W220" s="30" t="str">
        <f t="shared" si="41"/>
        <v/>
      </c>
      <c r="X220" s="33" t="str">
        <f t="shared" si="42"/>
        <v/>
      </c>
      <c r="Y220" s="34" t="str">
        <f t="shared" si="43"/>
        <v/>
      </c>
    </row>
    <row r="221" spans="1:25" x14ac:dyDescent="0.2">
      <c r="A221" s="35"/>
      <c r="B221" s="21"/>
      <c r="C221" s="18"/>
      <c r="D221" s="21"/>
      <c r="E221" s="21"/>
      <c r="F221" s="21"/>
      <c r="G221" s="36"/>
      <c r="H221" s="36"/>
      <c r="I221" s="36"/>
      <c r="J221" s="37"/>
      <c r="K221" s="18"/>
      <c r="L221" s="28" t="str">
        <f t="shared" si="33"/>
        <v/>
      </c>
      <c r="M221" s="29" t="str">
        <f t="shared" si="34"/>
        <v/>
      </c>
      <c r="N221" s="29" t="str">
        <f t="shared" si="35"/>
        <v/>
      </c>
      <c r="O221" s="30" t="str">
        <f t="shared" si="36"/>
        <v/>
      </c>
      <c r="P221" s="28" t="str">
        <f>IF($C221="","",IFERROR(INDEX(CA_TG,MATCH(B221,DS_CA,0))-INDEX(CA_NGHI,MATCH(B221,DS_CA,0))-SUMIFS('3 Nhật ký dừng máy'!$I$6:$I$1005,'3 Nhật ký dừng máy'!$A$6:$A$1005,$A221,'3 Nhật ký dừng máy'!$B$6:$B$1005,$B221,'3 Nhật ký dừng máy'!$C$6:$C$1005,$C221,'3 Nhật ký dừng máy'!$K$6:$K$1005,"Có kế hoạch"),"?"))</f>
        <v/>
      </c>
      <c r="Q221" s="28" t="str">
        <f>IF($C221="","",SUMIFS('3 Nhật ký dừng máy'!$I$6:$I$1005,'3 Nhật ký dừng máy'!$A$6:$A$1005,$A221,'3 Nhật ký dừng máy'!$B$6:$B$1005,$B221,'3 Nhật ký dừng máy'!$C$6:$C$1005,$C221,'3 Nhật ký dừng máy'!$K$6:$K$1005,"Ngoài kế hoạch"))</f>
        <v/>
      </c>
      <c r="R221" s="30" t="str">
        <f>IF($C221="","",COUNTIFS('3 Nhật ký dừng máy'!$A$6:$A$1005,$A221,'3 Nhật ký dừng máy'!$B$6:$B$1005,$B221,'3 Nhật ký dừng máy'!$C$6:$C$1005,$C221,'3 Nhật ký dừng máy'!$K$6:$K$1005,"Ngoài kế hoạch"))</f>
        <v/>
      </c>
      <c r="S221" s="31" t="str">
        <f t="shared" si="37"/>
        <v/>
      </c>
      <c r="T221" s="31" t="str">
        <f t="shared" si="38"/>
        <v/>
      </c>
      <c r="U221" s="31" t="str">
        <f t="shared" si="39"/>
        <v/>
      </c>
      <c r="V221" s="32" t="str">
        <f t="shared" si="40"/>
        <v/>
      </c>
      <c r="W221" s="30" t="str">
        <f t="shared" si="41"/>
        <v/>
      </c>
      <c r="X221" s="33" t="str">
        <f t="shared" si="42"/>
        <v/>
      </c>
      <c r="Y221" s="34" t="str">
        <f t="shared" si="43"/>
        <v/>
      </c>
    </row>
    <row r="222" spans="1:25" x14ac:dyDescent="0.2">
      <c r="A222" s="35"/>
      <c r="B222" s="21"/>
      <c r="C222" s="18"/>
      <c r="D222" s="21"/>
      <c r="E222" s="21"/>
      <c r="F222" s="21"/>
      <c r="G222" s="36"/>
      <c r="H222" s="36"/>
      <c r="I222" s="36"/>
      <c r="J222" s="37"/>
      <c r="K222" s="18"/>
      <c r="L222" s="28" t="str">
        <f t="shared" si="33"/>
        <v/>
      </c>
      <c r="M222" s="29" t="str">
        <f t="shared" si="34"/>
        <v/>
      </c>
      <c r="N222" s="29" t="str">
        <f t="shared" si="35"/>
        <v/>
      </c>
      <c r="O222" s="30" t="str">
        <f t="shared" si="36"/>
        <v/>
      </c>
      <c r="P222" s="28" t="str">
        <f>IF($C222="","",IFERROR(INDEX(CA_TG,MATCH(B222,DS_CA,0))-INDEX(CA_NGHI,MATCH(B222,DS_CA,0))-SUMIFS('3 Nhật ký dừng máy'!$I$6:$I$1005,'3 Nhật ký dừng máy'!$A$6:$A$1005,$A222,'3 Nhật ký dừng máy'!$B$6:$B$1005,$B222,'3 Nhật ký dừng máy'!$C$6:$C$1005,$C222,'3 Nhật ký dừng máy'!$K$6:$K$1005,"Có kế hoạch"),"?"))</f>
        <v/>
      </c>
      <c r="Q222" s="28" t="str">
        <f>IF($C222="","",SUMIFS('3 Nhật ký dừng máy'!$I$6:$I$1005,'3 Nhật ký dừng máy'!$A$6:$A$1005,$A222,'3 Nhật ký dừng máy'!$B$6:$B$1005,$B222,'3 Nhật ký dừng máy'!$C$6:$C$1005,$C222,'3 Nhật ký dừng máy'!$K$6:$K$1005,"Ngoài kế hoạch"))</f>
        <v/>
      </c>
      <c r="R222" s="30" t="str">
        <f>IF($C222="","",COUNTIFS('3 Nhật ký dừng máy'!$A$6:$A$1005,$A222,'3 Nhật ký dừng máy'!$B$6:$B$1005,$B222,'3 Nhật ký dừng máy'!$C$6:$C$1005,$C222,'3 Nhật ký dừng máy'!$K$6:$K$1005,"Ngoài kế hoạch"))</f>
        <v/>
      </c>
      <c r="S222" s="31" t="str">
        <f t="shared" si="37"/>
        <v/>
      </c>
      <c r="T222" s="31" t="str">
        <f t="shared" si="38"/>
        <v/>
      </c>
      <c r="U222" s="31" t="str">
        <f t="shared" si="39"/>
        <v/>
      </c>
      <c r="V222" s="32" t="str">
        <f t="shared" si="40"/>
        <v/>
      </c>
      <c r="W222" s="30" t="str">
        <f t="shared" si="41"/>
        <v/>
      </c>
      <c r="X222" s="33" t="str">
        <f t="shared" si="42"/>
        <v/>
      </c>
      <c r="Y222" s="34" t="str">
        <f t="shared" si="43"/>
        <v/>
      </c>
    </row>
    <row r="223" spans="1:25" x14ac:dyDescent="0.2">
      <c r="A223" s="35"/>
      <c r="B223" s="21"/>
      <c r="C223" s="18"/>
      <c r="D223" s="21"/>
      <c r="E223" s="21"/>
      <c r="F223" s="21"/>
      <c r="G223" s="36"/>
      <c r="H223" s="36"/>
      <c r="I223" s="36"/>
      <c r="J223" s="37"/>
      <c r="K223" s="18"/>
      <c r="L223" s="28" t="str">
        <f t="shared" si="33"/>
        <v/>
      </c>
      <c r="M223" s="29" t="str">
        <f t="shared" si="34"/>
        <v/>
      </c>
      <c r="N223" s="29" t="str">
        <f t="shared" si="35"/>
        <v/>
      </c>
      <c r="O223" s="30" t="str">
        <f t="shared" si="36"/>
        <v/>
      </c>
      <c r="P223" s="28" t="str">
        <f>IF($C223="","",IFERROR(INDEX(CA_TG,MATCH(B223,DS_CA,0))-INDEX(CA_NGHI,MATCH(B223,DS_CA,0))-SUMIFS('3 Nhật ký dừng máy'!$I$6:$I$1005,'3 Nhật ký dừng máy'!$A$6:$A$1005,$A223,'3 Nhật ký dừng máy'!$B$6:$B$1005,$B223,'3 Nhật ký dừng máy'!$C$6:$C$1005,$C223,'3 Nhật ký dừng máy'!$K$6:$K$1005,"Có kế hoạch"),"?"))</f>
        <v/>
      </c>
      <c r="Q223" s="28" t="str">
        <f>IF($C223="","",SUMIFS('3 Nhật ký dừng máy'!$I$6:$I$1005,'3 Nhật ký dừng máy'!$A$6:$A$1005,$A223,'3 Nhật ký dừng máy'!$B$6:$B$1005,$B223,'3 Nhật ký dừng máy'!$C$6:$C$1005,$C223,'3 Nhật ký dừng máy'!$K$6:$K$1005,"Ngoài kế hoạch"))</f>
        <v/>
      </c>
      <c r="R223" s="30" t="str">
        <f>IF($C223="","",COUNTIFS('3 Nhật ký dừng máy'!$A$6:$A$1005,$A223,'3 Nhật ký dừng máy'!$B$6:$B$1005,$B223,'3 Nhật ký dừng máy'!$C$6:$C$1005,$C223,'3 Nhật ký dừng máy'!$K$6:$K$1005,"Ngoài kế hoạch"))</f>
        <v/>
      </c>
      <c r="S223" s="31" t="str">
        <f t="shared" si="37"/>
        <v/>
      </c>
      <c r="T223" s="31" t="str">
        <f t="shared" si="38"/>
        <v/>
      </c>
      <c r="U223" s="31" t="str">
        <f t="shared" si="39"/>
        <v/>
      </c>
      <c r="V223" s="32" t="str">
        <f t="shared" si="40"/>
        <v/>
      </c>
      <c r="W223" s="30" t="str">
        <f t="shared" si="41"/>
        <v/>
      </c>
      <c r="X223" s="33" t="str">
        <f t="shared" si="42"/>
        <v/>
      </c>
      <c r="Y223" s="34" t="str">
        <f t="shared" si="43"/>
        <v/>
      </c>
    </row>
    <row r="224" spans="1:25" x14ac:dyDescent="0.2">
      <c r="A224" s="35"/>
      <c r="B224" s="21"/>
      <c r="C224" s="18"/>
      <c r="D224" s="21"/>
      <c r="E224" s="21"/>
      <c r="F224" s="21"/>
      <c r="G224" s="36"/>
      <c r="H224" s="36"/>
      <c r="I224" s="36"/>
      <c r="J224" s="37"/>
      <c r="K224" s="18"/>
      <c r="L224" s="28" t="str">
        <f t="shared" si="33"/>
        <v/>
      </c>
      <c r="M224" s="29" t="str">
        <f t="shared" si="34"/>
        <v/>
      </c>
      <c r="N224" s="29" t="str">
        <f t="shared" si="35"/>
        <v/>
      </c>
      <c r="O224" s="30" t="str">
        <f t="shared" si="36"/>
        <v/>
      </c>
      <c r="P224" s="28" t="str">
        <f>IF($C224="","",IFERROR(INDEX(CA_TG,MATCH(B224,DS_CA,0))-INDEX(CA_NGHI,MATCH(B224,DS_CA,0))-SUMIFS('3 Nhật ký dừng máy'!$I$6:$I$1005,'3 Nhật ký dừng máy'!$A$6:$A$1005,$A224,'3 Nhật ký dừng máy'!$B$6:$B$1005,$B224,'3 Nhật ký dừng máy'!$C$6:$C$1005,$C224,'3 Nhật ký dừng máy'!$K$6:$K$1005,"Có kế hoạch"),"?"))</f>
        <v/>
      </c>
      <c r="Q224" s="28" t="str">
        <f>IF($C224="","",SUMIFS('3 Nhật ký dừng máy'!$I$6:$I$1005,'3 Nhật ký dừng máy'!$A$6:$A$1005,$A224,'3 Nhật ký dừng máy'!$B$6:$B$1005,$B224,'3 Nhật ký dừng máy'!$C$6:$C$1005,$C224,'3 Nhật ký dừng máy'!$K$6:$K$1005,"Ngoài kế hoạch"))</f>
        <v/>
      </c>
      <c r="R224" s="30" t="str">
        <f>IF($C224="","",COUNTIFS('3 Nhật ký dừng máy'!$A$6:$A$1005,$A224,'3 Nhật ký dừng máy'!$B$6:$B$1005,$B224,'3 Nhật ký dừng máy'!$C$6:$C$1005,$C224,'3 Nhật ký dừng máy'!$K$6:$K$1005,"Ngoài kế hoạch"))</f>
        <v/>
      </c>
      <c r="S224" s="31" t="str">
        <f t="shared" si="37"/>
        <v/>
      </c>
      <c r="T224" s="31" t="str">
        <f t="shared" si="38"/>
        <v/>
      </c>
      <c r="U224" s="31" t="str">
        <f t="shared" si="39"/>
        <v/>
      </c>
      <c r="V224" s="32" t="str">
        <f t="shared" si="40"/>
        <v/>
      </c>
      <c r="W224" s="30" t="str">
        <f t="shared" si="41"/>
        <v/>
      </c>
      <c r="X224" s="33" t="str">
        <f t="shared" si="42"/>
        <v/>
      </c>
      <c r="Y224" s="34" t="str">
        <f t="shared" si="43"/>
        <v/>
      </c>
    </row>
    <row r="225" spans="1:25" x14ac:dyDescent="0.2">
      <c r="A225" s="35"/>
      <c r="B225" s="21"/>
      <c r="C225" s="18"/>
      <c r="D225" s="21"/>
      <c r="E225" s="21"/>
      <c r="F225" s="21"/>
      <c r="G225" s="36"/>
      <c r="H225" s="36"/>
      <c r="I225" s="36"/>
      <c r="J225" s="37"/>
      <c r="K225" s="18"/>
      <c r="L225" s="28" t="str">
        <f t="shared" si="33"/>
        <v/>
      </c>
      <c r="M225" s="29" t="str">
        <f t="shared" si="34"/>
        <v/>
      </c>
      <c r="N225" s="29" t="str">
        <f t="shared" si="35"/>
        <v/>
      </c>
      <c r="O225" s="30" t="str">
        <f t="shared" si="36"/>
        <v/>
      </c>
      <c r="P225" s="28" t="str">
        <f>IF($C225="","",IFERROR(INDEX(CA_TG,MATCH(B225,DS_CA,0))-INDEX(CA_NGHI,MATCH(B225,DS_CA,0))-SUMIFS('3 Nhật ký dừng máy'!$I$6:$I$1005,'3 Nhật ký dừng máy'!$A$6:$A$1005,$A225,'3 Nhật ký dừng máy'!$B$6:$B$1005,$B225,'3 Nhật ký dừng máy'!$C$6:$C$1005,$C225,'3 Nhật ký dừng máy'!$K$6:$K$1005,"Có kế hoạch"),"?"))</f>
        <v/>
      </c>
      <c r="Q225" s="28" t="str">
        <f>IF($C225="","",SUMIFS('3 Nhật ký dừng máy'!$I$6:$I$1005,'3 Nhật ký dừng máy'!$A$6:$A$1005,$A225,'3 Nhật ký dừng máy'!$B$6:$B$1005,$B225,'3 Nhật ký dừng máy'!$C$6:$C$1005,$C225,'3 Nhật ký dừng máy'!$K$6:$K$1005,"Ngoài kế hoạch"))</f>
        <v/>
      </c>
      <c r="R225" s="30" t="str">
        <f>IF($C225="","",COUNTIFS('3 Nhật ký dừng máy'!$A$6:$A$1005,$A225,'3 Nhật ký dừng máy'!$B$6:$B$1005,$B225,'3 Nhật ký dừng máy'!$C$6:$C$1005,$C225,'3 Nhật ký dừng máy'!$K$6:$K$1005,"Ngoài kế hoạch"))</f>
        <v/>
      </c>
      <c r="S225" s="31" t="str">
        <f t="shared" si="37"/>
        <v/>
      </c>
      <c r="T225" s="31" t="str">
        <f t="shared" si="38"/>
        <v/>
      </c>
      <c r="U225" s="31" t="str">
        <f t="shared" si="39"/>
        <v/>
      </c>
      <c r="V225" s="32" t="str">
        <f t="shared" si="40"/>
        <v/>
      </c>
      <c r="W225" s="30" t="str">
        <f t="shared" si="41"/>
        <v/>
      </c>
      <c r="X225" s="33" t="str">
        <f t="shared" si="42"/>
        <v/>
      </c>
      <c r="Y225" s="34" t="str">
        <f t="shared" si="43"/>
        <v/>
      </c>
    </row>
    <row r="226" spans="1:25" x14ac:dyDescent="0.2">
      <c r="A226" s="35"/>
      <c r="B226" s="21"/>
      <c r="C226" s="18"/>
      <c r="D226" s="21"/>
      <c r="E226" s="21"/>
      <c r="F226" s="21"/>
      <c r="G226" s="36"/>
      <c r="H226" s="36"/>
      <c r="I226" s="36"/>
      <c r="J226" s="37"/>
      <c r="K226" s="18"/>
      <c r="L226" s="28" t="str">
        <f t="shared" si="33"/>
        <v/>
      </c>
      <c r="M226" s="29" t="str">
        <f t="shared" si="34"/>
        <v/>
      </c>
      <c r="N226" s="29" t="str">
        <f t="shared" si="35"/>
        <v/>
      </c>
      <c r="O226" s="30" t="str">
        <f t="shared" si="36"/>
        <v/>
      </c>
      <c r="P226" s="28" t="str">
        <f>IF($C226="","",IFERROR(INDEX(CA_TG,MATCH(B226,DS_CA,0))-INDEX(CA_NGHI,MATCH(B226,DS_CA,0))-SUMIFS('3 Nhật ký dừng máy'!$I$6:$I$1005,'3 Nhật ký dừng máy'!$A$6:$A$1005,$A226,'3 Nhật ký dừng máy'!$B$6:$B$1005,$B226,'3 Nhật ký dừng máy'!$C$6:$C$1005,$C226,'3 Nhật ký dừng máy'!$K$6:$K$1005,"Có kế hoạch"),"?"))</f>
        <v/>
      </c>
      <c r="Q226" s="28" t="str">
        <f>IF($C226="","",SUMIFS('3 Nhật ký dừng máy'!$I$6:$I$1005,'3 Nhật ký dừng máy'!$A$6:$A$1005,$A226,'3 Nhật ký dừng máy'!$B$6:$B$1005,$B226,'3 Nhật ký dừng máy'!$C$6:$C$1005,$C226,'3 Nhật ký dừng máy'!$K$6:$K$1005,"Ngoài kế hoạch"))</f>
        <v/>
      </c>
      <c r="R226" s="30" t="str">
        <f>IF($C226="","",COUNTIFS('3 Nhật ký dừng máy'!$A$6:$A$1005,$A226,'3 Nhật ký dừng máy'!$B$6:$B$1005,$B226,'3 Nhật ký dừng máy'!$C$6:$C$1005,$C226,'3 Nhật ký dừng máy'!$K$6:$K$1005,"Ngoài kế hoạch"))</f>
        <v/>
      </c>
      <c r="S226" s="31" t="str">
        <f t="shared" si="37"/>
        <v/>
      </c>
      <c r="T226" s="31" t="str">
        <f t="shared" si="38"/>
        <v/>
      </c>
      <c r="U226" s="31" t="str">
        <f t="shared" si="39"/>
        <v/>
      </c>
      <c r="V226" s="32" t="str">
        <f t="shared" si="40"/>
        <v/>
      </c>
      <c r="W226" s="30" t="str">
        <f t="shared" si="41"/>
        <v/>
      </c>
      <c r="X226" s="33" t="str">
        <f t="shared" si="42"/>
        <v/>
      </c>
      <c r="Y226" s="34" t="str">
        <f t="shared" si="43"/>
        <v/>
      </c>
    </row>
    <row r="227" spans="1:25" x14ac:dyDescent="0.2">
      <c r="A227" s="35"/>
      <c r="B227" s="21"/>
      <c r="C227" s="18"/>
      <c r="D227" s="21"/>
      <c r="E227" s="21"/>
      <c r="F227" s="21"/>
      <c r="G227" s="36"/>
      <c r="H227" s="36"/>
      <c r="I227" s="36"/>
      <c r="J227" s="37"/>
      <c r="K227" s="18"/>
      <c r="L227" s="28" t="str">
        <f t="shared" si="33"/>
        <v/>
      </c>
      <c r="M227" s="29" t="str">
        <f t="shared" si="34"/>
        <v/>
      </c>
      <c r="N227" s="29" t="str">
        <f t="shared" si="35"/>
        <v/>
      </c>
      <c r="O227" s="30" t="str">
        <f t="shared" si="36"/>
        <v/>
      </c>
      <c r="P227" s="28" t="str">
        <f>IF($C227="","",IFERROR(INDEX(CA_TG,MATCH(B227,DS_CA,0))-INDEX(CA_NGHI,MATCH(B227,DS_CA,0))-SUMIFS('3 Nhật ký dừng máy'!$I$6:$I$1005,'3 Nhật ký dừng máy'!$A$6:$A$1005,$A227,'3 Nhật ký dừng máy'!$B$6:$B$1005,$B227,'3 Nhật ký dừng máy'!$C$6:$C$1005,$C227,'3 Nhật ký dừng máy'!$K$6:$K$1005,"Có kế hoạch"),"?"))</f>
        <v/>
      </c>
      <c r="Q227" s="28" t="str">
        <f>IF($C227="","",SUMIFS('3 Nhật ký dừng máy'!$I$6:$I$1005,'3 Nhật ký dừng máy'!$A$6:$A$1005,$A227,'3 Nhật ký dừng máy'!$B$6:$B$1005,$B227,'3 Nhật ký dừng máy'!$C$6:$C$1005,$C227,'3 Nhật ký dừng máy'!$K$6:$K$1005,"Ngoài kế hoạch"))</f>
        <v/>
      </c>
      <c r="R227" s="30" t="str">
        <f>IF($C227="","",COUNTIFS('3 Nhật ký dừng máy'!$A$6:$A$1005,$A227,'3 Nhật ký dừng máy'!$B$6:$B$1005,$B227,'3 Nhật ký dừng máy'!$C$6:$C$1005,$C227,'3 Nhật ký dừng máy'!$K$6:$K$1005,"Ngoài kế hoạch"))</f>
        <v/>
      </c>
      <c r="S227" s="31" t="str">
        <f t="shared" si="37"/>
        <v/>
      </c>
      <c r="T227" s="31" t="str">
        <f t="shared" si="38"/>
        <v/>
      </c>
      <c r="U227" s="31" t="str">
        <f t="shared" si="39"/>
        <v/>
      </c>
      <c r="V227" s="32" t="str">
        <f t="shared" si="40"/>
        <v/>
      </c>
      <c r="W227" s="30" t="str">
        <f t="shared" si="41"/>
        <v/>
      </c>
      <c r="X227" s="33" t="str">
        <f t="shared" si="42"/>
        <v/>
      </c>
      <c r="Y227" s="34" t="str">
        <f t="shared" si="43"/>
        <v/>
      </c>
    </row>
    <row r="228" spans="1:25" x14ac:dyDescent="0.2">
      <c r="A228" s="35"/>
      <c r="B228" s="21"/>
      <c r="C228" s="18"/>
      <c r="D228" s="21"/>
      <c r="E228" s="21"/>
      <c r="F228" s="21"/>
      <c r="G228" s="36"/>
      <c r="H228" s="36"/>
      <c r="I228" s="36"/>
      <c r="J228" s="37"/>
      <c r="K228" s="18"/>
      <c r="L228" s="28" t="str">
        <f t="shared" si="33"/>
        <v/>
      </c>
      <c r="M228" s="29" t="str">
        <f t="shared" si="34"/>
        <v/>
      </c>
      <c r="N228" s="29" t="str">
        <f t="shared" si="35"/>
        <v/>
      </c>
      <c r="O228" s="30" t="str">
        <f t="shared" si="36"/>
        <v/>
      </c>
      <c r="P228" s="28" t="str">
        <f>IF($C228="","",IFERROR(INDEX(CA_TG,MATCH(B228,DS_CA,0))-INDEX(CA_NGHI,MATCH(B228,DS_CA,0))-SUMIFS('3 Nhật ký dừng máy'!$I$6:$I$1005,'3 Nhật ký dừng máy'!$A$6:$A$1005,$A228,'3 Nhật ký dừng máy'!$B$6:$B$1005,$B228,'3 Nhật ký dừng máy'!$C$6:$C$1005,$C228,'3 Nhật ký dừng máy'!$K$6:$K$1005,"Có kế hoạch"),"?"))</f>
        <v/>
      </c>
      <c r="Q228" s="28" t="str">
        <f>IF($C228="","",SUMIFS('3 Nhật ký dừng máy'!$I$6:$I$1005,'3 Nhật ký dừng máy'!$A$6:$A$1005,$A228,'3 Nhật ký dừng máy'!$B$6:$B$1005,$B228,'3 Nhật ký dừng máy'!$C$6:$C$1005,$C228,'3 Nhật ký dừng máy'!$K$6:$K$1005,"Ngoài kế hoạch"))</f>
        <v/>
      </c>
      <c r="R228" s="30" t="str">
        <f>IF($C228="","",COUNTIFS('3 Nhật ký dừng máy'!$A$6:$A$1005,$A228,'3 Nhật ký dừng máy'!$B$6:$B$1005,$B228,'3 Nhật ký dừng máy'!$C$6:$C$1005,$C228,'3 Nhật ký dừng máy'!$K$6:$K$1005,"Ngoài kế hoạch"))</f>
        <v/>
      </c>
      <c r="S228" s="31" t="str">
        <f t="shared" si="37"/>
        <v/>
      </c>
      <c r="T228" s="31" t="str">
        <f t="shared" si="38"/>
        <v/>
      </c>
      <c r="U228" s="31" t="str">
        <f t="shared" si="39"/>
        <v/>
      </c>
      <c r="V228" s="32" t="str">
        <f t="shared" si="40"/>
        <v/>
      </c>
      <c r="W228" s="30" t="str">
        <f t="shared" si="41"/>
        <v/>
      </c>
      <c r="X228" s="33" t="str">
        <f t="shared" si="42"/>
        <v/>
      </c>
      <c r="Y228" s="34" t="str">
        <f t="shared" si="43"/>
        <v/>
      </c>
    </row>
    <row r="229" spans="1:25" x14ac:dyDescent="0.2">
      <c r="A229" s="35"/>
      <c r="B229" s="21"/>
      <c r="C229" s="18"/>
      <c r="D229" s="21"/>
      <c r="E229" s="21"/>
      <c r="F229" s="21"/>
      <c r="G229" s="36"/>
      <c r="H229" s="36"/>
      <c r="I229" s="36"/>
      <c r="J229" s="37"/>
      <c r="K229" s="18"/>
      <c r="L229" s="28" t="str">
        <f t="shared" si="33"/>
        <v/>
      </c>
      <c r="M229" s="29" t="str">
        <f t="shared" si="34"/>
        <v/>
      </c>
      <c r="N229" s="29" t="str">
        <f t="shared" si="35"/>
        <v/>
      </c>
      <c r="O229" s="30" t="str">
        <f t="shared" si="36"/>
        <v/>
      </c>
      <c r="P229" s="28" t="str">
        <f>IF($C229="","",IFERROR(INDEX(CA_TG,MATCH(B229,DS_CA,0))-INDEX(CA_NGHI,MATCH(B229,DS_CA,0))-SUMIFS('3 Nhật ký dừng máy'!$I$6:$I$1005,'3 Nhật ký dừng máy'!$A$6:$A$1005,$A229,'3 Nhật ký dừng máy'!$B$6:$B$1005,$B229,'3 Nhật ký dừng máy'!$C$6:$C$1005,$C229,'3 Nhật ký dừng máy'!$K$6:$K$1005,"Có kế hoạch"),"?"))</f>
        <v/>
      </c>
      <c r="Q229" s="28" t="str">
        <f>IF($C229="","",SUMIFS('3 Nhật ký dừng máy'!$I$6:$I$1005,'3 Nhật ký dừng máy'!$A$6:$A$1005,$A229,'3 Nhật ký dừng máy'!$B$6:$B$1005,$B229,'3 Nhật ký dừng máy'!$C$6:$C$1005,$C229,'3 Nhật ký dừng máy'!$K$6:$K$1005,"Ngoài kế hoạch"))</f>
        <v/>
      </c>
      <c r="R229" s="30" t="str">
        <f>IF($C229="","",COUNTIFS('3 Nhật ký dừng máy'!$A$6:$A$1005,$A229,'3 Nhật ký dừng máy'!$B$6:$B$1005,$B229,'3 Nhật ký dừng máy'!$C$6:$C$1005,$C229,'3 Nhật ký dừng máy'!$K$6:$K$1005,"Ngoài kế hoạch"))</f>
        <v/>
      </c>
      <c r="S229" s="31" t="str">
        <f t="shared" si="37"/>
        <v/>
      </c>
      <c r="T229" s="31" t="str">
        <f t="shared" si="38"/>
        <v/>
      </c>
      <c r="U229" s="31" t="str">
        <f t="shared" si="39"/>
        <v/>
      </c>
      <c r="V229" s="32" t="str">
        <f t="shared" si="40"/>
        <v/>
      </c>
      <c r="W229" s="30" t="str">
        <f t="shared" si="41"/>
        <v/>
      </c>
      <c r="X229" s="33" t="str">
        <f t="shared" si="42"/>
        <v/>
      </c>
      <c r="Y229" s="34" t="str">
        <f t="shared" si="43"/>
        <v/>
      </c>
    </row>
    <row r="230" spans="1:25" x14ac:dyDescent="0.2">
      <c r="A230" s="35"/>
      <c r="B230" s="21"/>
      <c r="C230" s="18"/>
      <c r="D230" s="21"/>
      <c r="E230" s="21"/>
      <c r="F230" s="21"/>
      <c r="G230" s="36"/>
      <c r="H230" s="36"/>
      <c r="I230" s="36"/>
      <c r="J230" s="37"/>
      <c r="K230" s="18"/>
      <c r="L230" s="28" t="str">
        <f t="shared" si="33"/>
        <v/>
      </c>
      <c r="M230" s="29" t="str">
        <f t="shared" si="34"/>
        <v/>
      </c>
      <c r="N230" s="29" t="str">
        <f t="shared" si="35"/>
        <v/>
      </c>
      <c r="O230" s="30" t="str">
        <f t="shared" si="36"/>
        <v/>
      </c>
      <c r="P230" s="28" t="str">
        <f>IF($C230="","",IFERROR(INDEX(CA_TG,MATCH(B230,DS_CA,0))-INDEX(CA_NGHI,MATCH(B230,DS_CA,0))-SUMIFS('3 Nhật ký dừng máy'!$I$6:$I$1005,'3 Nhật ký dừng máy'!$A$6:$A$1005,$A230,'3 Nhật ký dừng máy'!$B$6:$B$1005,$B230,'3 Nhật ký dừng máy'!$C$6:$C$1005,$C230,'3 Nhật ký dừng máy'!$K$6:$K$1005,"Có kế hoạch"),"?"))</f>
        <v/>
      </c>
      <c r="Q230" s="28" t="str">
        <f>IF($C230="","",SUMIFS('3 Nhật ký dừng máy'!$I$6:$I$1005,'3 Nhật ký dừng máy'!$A$6:$A$1005,$A230,'3 Nhật ký dừng máy'!$B$6:$B$1005,$B230,'3 Nhật ký dừng máy'!$C$6:$C$1005,$C230,'3 Nhật ký dừng máy'!$K$6:$K$1005,"Ngoài kế hoạch"))</f>
        <v/>
      </c>
      <c r="R230" s="30" t="str">
        <f>IF($C230="","",COUNTIFS('3 Nhật ký dừng máy'!$A$6:$A$1005,$A230,'3 Nhật ký dừng máy'!$B$6:$B$1005,$B230,'3 Nhật ký dừng máy'!$C$6:$C$1005,$C230,'3 Nhật ký dừng máy'!$K$6:$K$1005,"Ngoài kế hoạch"))</f>
        <v/>
      </c>
      <c r="S230" s="31" t="str">
        <f t="shared" si="37"/>
        <v/>
      </c>
      <c r="T230" s="31" t="str">
        <f t="shared" si="38"/>
        <v/>
      </c>
      <c r="U230" s="31" t="str">
        <f t="shared" si="39"/>
        <v/>
      </c>
      <c r="V230" s="32" t="str">
        <f t="shared" si="40"/>
        <v/>
      </c>
      <c r="W230" s="30" t="str">
        <f t="shared" si="41"/>
        <v/>
      </c>
      <c r="X230" s="33" t="str">
        <f t="shared" si="42"/>
        <v/>
      </c>
      <c r="Y230" s="34" t="str">
        <f t="shared" si="43"/>
        <v/>
      </c>
    </row>
    <row r="231" spans="1:25" x14ac:dyDescent="0.2">
      <c r="A231" s="35"/>
      <c r="B231" s="21"/>
      <c r="C231" s="18"/>
      <c r="D231" s="21"/>
      <c r="E231" s="21"/>
      <c r="F231" s="21"/>
      <c r="G231" s="36"/>
      <c r="H231" s="36"/>
      <c r="I231" s="36"/>
      <c r="J231" s="37"/>
      <c r="K231" s="18"/>
      <c r="L231" s="28" t="str">
        <f t="shared" si="33"/>
        <v/>
      </c>
      <c r="M231" s="29" t="str">
        <f t="shared" si="34"/>
        <v/>
      </c>
      <c r="N231" s="29" t="str">
        <f t="shared" si="35"/>
        <v/>
      </c>
      <c r="O231" s="30" t="str">
        <f t="shared" si="36"/>
        <v/>
      </c>
      <c r="P231" s="28" t="str">
        <f>IF($C231="","",IFERROR(INDEX(CA_TG,MATCH(B231,DS_CA,0))-INDEX(CA_NGHI,MATCH(B231,DS_CA,0))-SUMIFS('3 Nhật ký dừng máy'!$I$6:$I$1005,'3 Nhật ký dừng máy'!$A$6:$A$1005,$A231,'3 Nhật ký dừng máy'!$B$6:$B$1005,$B231,'3 Nhật ký dừng máy'!$C$6:$C$1005,$C231,'3 Nhật ký dừng máy'!$K$6:$K$1005,"Có kế hoạch"),"?"))</f>
        <v/>
      </c>
      <c r="Q231" s="28" t="str">
        <f>IF($C231="","",SUMIFS('3 Nhật ký dừng máy'!$I$6:$I$1005,'3 Nhật ký dừng máy'!$A$6:$A$1005,$A231,'3 Nhật ký dừng máy'!$B$6:$B$1005,$B231,'3 Nhật ký dừng máy'!$C$6:$C$1005,$C231,'3 Nhật ký dừng máy'!$K$6:$K$1005,"Ngoài kế hoạch"))</f>
        <v/>
      </c>
      <c r="R231" s="30" t="str">
        <f>IF($C231="","",COUNTIFS('3 Nhật ký dừng máy'!$A$6:$A$1005,$A231,'3 Nhật ký dừng máy'!$B$6:$B$1005,$B231,'3 Nhật ký dừng máy'!$C$6:$C$1005,$C231,'3 Nhật ký dừng máy'!$K$6:$K$1005,"Ngoài kế hoạch"))</f>
        <v/>
      </c>
      <c r="S231" s="31" t="str">
        <f t="shared" si="37"/>
        <v/>
      </c>
      <c r="T231" s="31" t="str">
        <f t="shared" si="38"/>
        <v/>
      </c>
      <c r="U231" s="31" t="str">
        <f t="shared" si="39"/>
        <v/>
      </c>
      <c r="V231" s="32" t="str">
        <f t="shared" si="40"/>
        <v/>
      </c>
      <c r="W231" s="30" t="str">
        <f t="shared" si="41"/>
        <v/>
      </c>
      <c r="X231" s="33" t="str">
        <f t="shared" si="42"/>
        <v/>
      </c>
      <c r="Y231" s="34" t="str">
        <f t="shared" si="43"/>
        <v/>
      </c>
    </row>
    <row r="232" spans="1:25" x14ac:dyDescent="0.2">
      <c r="A232" s="35"/>
      <c r="B232" s="21"/>
      <c r="C232" s="18"/>
      <c r="D232" s="21"/>
      <c r="E232" s="21"/>
      <c r="F232" s="21"/>
      <c r="G232" s="36"/>
      <c r="H232" s="36"/>
      <c r="I232" s="36"/>
      <c r="J232" s="37"/>
      <c r="K232" s="18"/>
      <c r="L232" s="28" t="str">
        <f t="shared" si="33"/>
        <v/>
      </c>
      <c r="M232" s="29" t="str">
        <f t="shared" si="34"/>
        <v/>
      </c>
      <c r="N232" s="29" t="str">
        <f t="shared" si="35"/>
        <v/>
      </c>
      <c r="O232" s="30" t="str">
        <f t="shared" si="36"/>
        <v/>
      </c>
      <c r="P232" s="28" t="str">
        <f>IF($C232="","",IFERROR(INDEX(CA_TG,MATCH(B232,DS_CA,0))-INDEX(CA_NGHI,MATCH(B232,DS_CA,0))-SUMIFS('3 Nhật ký dừng máy'!$I$6:$I$1005,'3 Nhật ký dừng máy'!$A$6:$A$1005,$A232,'3 Nhật ký dừng máy'!$B$6:$B$1005,$B232,'3 Nhật ký dừng máy'!$C$6:$C$1005,$C232,'3 Nhật ký dừng máy'!$K$6:$K$1005,"Có kế hoạch"),"?"))</f>
        <v/>
      </c>
      <c r="Q232" s="28" t="str">
        <f>IF($C232="","",SUMIFS('3 Nhật ký dừng máy'!$I$6:$I$1005,'3 Nhật ký dừng máy'!$A$6:$A$1005,$A232,'3 Nhật ký dừng máy'!$B$6:$B$1005,$B232,'3 Nhật ký dừng máy'!$C$6:$C$1005,$C232,'3 Nhật ký dừng máy'!$K$6:$K$1005,"Ngoài kế hoạch"))</f>
        <v/>
      </c>
      <c r="R232" s="30" t="str">
        <f>IF($C232="","",COUNTIFS('3 Nhật ký dừng máy'!$A$6:$A$1005,$A232,'3 Nhật ký dừng máy'!$B$6:$B$1005,$B232,'3 Nhật ký dừng máy'!$C$6:$C$1005,$C232,'3 Nhật ký dừng máy'!$K$6:$K$1005,"Ngoài kế hoạch"))</f>
        <v/>
      </c>
      <c r="S232" s="31" t="str">
        <f t="shared" si="37"/>
        <v/>
      </c>
      <c r="T232" s="31" t="str">
        <f t="shared" si="38"/>
        <v/>
      </c>
      <c r="U232" s="31" t="str">
        <f t="shared" si="39"/>
        <v/>
      </c>
      <c r="V232" s="32" t="str">
        <f t="shared" si="40"/>
        <v/>
      </c>
      <c r="W232" s="30" t="str">
        <f t="shared" si="41"/>
        <v/>
      </c>
      <c r="X232" s="33" t="str">
        <f t="shared" si="42"/>
        <v/>
      </c>
      <c r="Y232" s="34" t="str">
        <f t="shared" si="43"/>
        <v/>
      </c>
    </row>
    <row r="233" spans="1:25" x14ac:dyDescent="0.2">
      <c r="A233" s="35"/>
      <c r="B233" s="21"/>
      <c r="C233" s="18"/>
      <c r="D233" s="21"/>
      <c r="E233" s="21"/>
      <c r="F233" s="21"/>
      <c r="G233" s="36"/>
      <c r="H233" s="36"/>
      <c r="I233" s="36"/>
      <c r="J233" s="37"/>
      <c r="K233" s="18"/>
      <c r="L233" s="28" t="str">
        <f t="shared" si="33"/>
        <v/>
      </c>
      <c r="M233" s="29" t="str">
        <f t="shared" si="34"/>
        <v/>
      </c>
      <c r="N233" s="29" t="str">
        <f t="shared" si="35"/>
        <v/>
      </c>
      <c r="O233" s="30" t="str">
        <f t="shared" si="36"/>
        <v/>
      </c>
      <c r="P233" s="28" t="str">
        <f>IF($C233="","",IFERROR(INDEX(CA_TG,MATCH(B233,DS_CA,0))-INDEX(CA_NGHI,MATCH(B233,DS_CA,0))-SUMIFS('3 Nhật ký dừng máy'!$I$6:$I$1005,'3 Nhật ký dừng máy'!$A$6:$A$1005,$A233,'3 Nhật ký dừng máy'!$B$6:$B$1005,$B233,'3 Nhật ký dừng máy'!$C$6:$C$1005,$C233,'3 Nhật ký dừng máy'!$K$6:$K$1005,"Có kế hoạch"),"?"))</f>
        <v/>
      </c>
      <c r="Q233" s="28" t="str">
        <f>IF($C233="","",SUMIFS('3 Nhật ký dừng máy'!$I$6:$I$1005,'3 Nhật ký dừng máy'!$A$6:$A$1005,$A233,'3 Nhật ký dừng máy'!$B$6:$B$1005,$B233,'3 Nhật ký dừng máy'!$C$6:$C$1005,$C233,'3 Nhật ký dừng máy'!$K$6:$K$1005,"Ngoài kế hoạch"))</f>
        <v/>
      </c>
      <c r="R233" s="30" t="str">
        <f>IF($C233="","",COUNTIFS('3 Nhật ký dừng máy'!$A$6:$A$1005,$A233,'3 Nhật ký dừng máy'!$B$6:$B$1005,$B233,'3 Nhật ký dừng máy'!$C$6:$C$1005,$C233,'3 Nhật ký dừng máy'!$K$6:$K$1005,"Ngoài kế hoạch"))</f>
        <v/>
      </c>
      <c r="S233" s="31" t="str">
        <f t="shared" si="37"/>
        <v/>
      </c>
      <c r="T233" s="31" t="str">
        <f t="shared" si="38"/>
        <v/>
      </c>
      <c r="U233" s="31" t="str">
        <f t="shared" si="39"/>
        <v/>
      </c>
      <c r="V233" s="32" t="str">
        <f t="shared" si="40"/>
        <v/>
      </c>
      <c r="W233" s="30" t="str">
        <f t="shared" si="41"/>
        <v/>
      </c>
      <c r="X233" s="33" t="str">
        <f t="shared" si="42"/>
        <v/>
      </c>
      <c r="Y233" s="34" t="str">
        <f t="shared" si="43"/>
        <v/>
      </c>
    </row>
    <row r="234" spans="1:25" x14ac:dyDescent="0.2">
      <c r="A234" s="35"/>
      <c r="B234" s="21"/>
      <c r="C234" s="18"/>
      <c r="D234" s="21"/>
      <c r="E234" s="21"/>
      <c r="F234" s="21"/>
      <c r="G234" s="36"/>
      <c r="H234" s="36"/>
      <c r="I234" s="36"/>
      <c r="J234" s="37"/>
      <c r="K234" s="18"/>
      <c r="L234" s="28" t="str">
        <f t="shared" si="33"/>
        <v/>
      </c>
      <c r="M234" s="29" t="str">
        <f t="shared" si="34"/>
        <v/>
      </c>
      <c r="N234" s="29" t="str">
        <f t="shared" si="35"/>
        <v/>
      </c>
      <c r="O234" s="30" t="str">
        <f t="shared" si="36"/>
        <v/>
      </c>
      <c r="P234" s="28" t="str">
        <f>IF($C234="","",IFERROR(INDEX(CA_TG,MATCH(B234,DS_CA,0))-INDEX(CA_NGHI,MATCH(B234,DS_CA,0))-SUMIFS('3 Nhật ký dừng máy'!$I$6:$I$1005,'3 Nhật ký dừng máy'!$A$6:$A$1005,$A234,'3 Nhật ký dừng máy'!$B$6:$B$1005,$B234,'3 Nhật ký dừng máy'!$C$6:$C$1005,$C234,'3 Nhật ký dừng máy'!$K$6:$K$1005,"Có kế hoạch"),"?"))</f>
        <v/>
      </c>
      <c r="Q234" s="28" t="str">
        <f>IF($C234="","",SUMIFS('3 Nhật ký dừng máy'!$I$6:$I$1005,'3 Nhật ký dừng máy'!$A$6:$A$1005,$A234,'3 Nhật ký dừng máy'!$B$6:$B$1005,$B234,'3 Nhật ký dừng máy'!$C$6:$C$1005,$C234,'3 Nhật ký dừng máy'!$K$6:$K$1005,"Ngoài kế hoạch"))</f>
        <v/>
      </c>
      <c r="R234" s="30" t="str">
        <f>IF($C234="","",COUNTIFS('3 Nhật ký dừng máy'!$A$6:$A$1005,$A234,'3 Nhật ký dừng máy'!$B$6:$B$1005,$B234,'3 Nhật ký dừng máy'!$C$6:$C$1005,$C234,'3 Nhật ký dừng máy'!$K$6:$K$1005,"Ngoài kế hoạch"))</f>
        <v/>
      </c>
      <c r="S234" s="31" t="str">
        <f t="shared" si="37"/>
        <v/>
      </c>
      <c r="T234" s="31" t="str">
        <f t="shared" si="38"/>
        <v/>
      </c>
      <c r="U234" s="31" t="str">
        <f t="shared" si="39"/>
        <v/>
      </c>
      <c r="V234" s="32" t="str">
        <f t="shared" si="40"/>
        <v/>
      </c>
      <c r="W234" s="30" t="str">
        <f t="shared" si="41"/>
        <v/>
      </c>
      <c r="X234" s="33" t="str">
        <f t="shared" si="42"/>
        <v/>
      </c>
      <c r="Y234" s="34" t="str">
        <f t="shared" si="43"/>
        <v/>
      </c>
    </row>
    <row r="235" spans="1:25" x14ac:dyDescent="0.2">
      <c r="A235" s="35"/>
      <c r="B235" s="21"/>
      <c r="C235" s="18"/>
      <c r="D235" s="21"/>
      <c r="E235" s="21"/>
      <c r="F235" s="21"/>
      <c r="G235" s="36"/>
      <c r="H235" s="36"/>
      <c r="I235" s="36"/>
      <c r="J235" s="37"/>
      <c r="K235" s="18"/>
      <c r="L235" s="28" t="str">
        <f t="shared" si="33"/>
        <v/>
      </c>
      <c r="M235" s="29" t="str">
        <f t="shared" si="34"/>
        <v/>
      </c>
      <c r="N235" s="29" t="str">
        <f t="shared" si="35"/>
        <v/>
      </c>
      <c r="O235" s="30" t="str">
        <f t="shared" si="36"/>
        <v/>
      </c>
      <c r="P235" s="28" t="str">
        <f>IF($C235="","",IFERROR(INDEX(CA_TG,MATCH(B235,DS_CA,0))-INDEX(CA_NGHI,MATCH(B235,DS_CA,0))-SUMIFS('3 Nhật ký dừng máy'!$I$6:$I$1005,'3 Nhật ký dừng máy'!$A$6:$A$1005,$A235,'3 Nhật ký dừng máy'!$B$6:$B$1005,$B235,'3 Nhật ký dừng máy'!$C$6:$C$1005,$C235,'3 Nhật ký dừng máy'!$K$6:$K$1005,"Có kế hoạch"),"?"))</f>
        <v/>
      </c>
      <c r="Q235" s="28" t="str">
        <f>IF($C235="","",SUMIFS('3 Nhật ký dừng máy'!$I$6:$I$1005,'3 Nhật ký dừng máy'!$A$6:$A$1005,$A235,'3 Nhật ký dừng máy'!$B$6:$B$1005,$B235,'3 Nhật ký dừng máy'!$C$6:$C$1005,$C235,'3 Nhật ký dừng máy'!$K$6:$K$1005,"Ngoài kế hoạch"))</f>
        <v/>
      </c>
      <c r="R235" s="30" t="str">
        <f>IF($C235="","",COUNTIFS('3 Nhật ký dừng máy'!$A$6:$A$1005,$A235,'3 Nhật ký dừng máy'!$B$6:$B$1005,$B235,'3 Nhật ký dừng máy'!$C$6:$C$1005,$C235,'3 Nhật ký dừng máy'!$K$6:$K$1005,"Ngoài kế hoạch"))</f>
        <v/>
      </c>
      <c r="S235" s="31" t="str">
        <f t="shared" si="37"/>
        <v/>
      </c>
      <c r="T235" s="31" t="str">
        <f t="shared" si="38"/>
        <v/>
      </c>
      <c r="U235" s="31" t="str">
        <f t="shared" si="39"/>
        <v/>
      </c>
      <c r="V235" s="32" t="str">
        <f t="shared" si="40"/>
        <v/>
      </c>
      <c r="W235" s="30" t="str">
        <f t="shared" si="41"/>
        <v/>
      </c>
      <c r="X235" s="33" t="str">
        <f t="shared" si="42"/>
        <v/>
      </c>
      <c r="Y235" s="34" t="str">
        <f t="shared" si="43"/>
        <v/>
      </c>
    </row>
    <row r="236" spans="1:25" x14ac:dyDescent="0.2">
      <c r="A236" s="35"/>
      <c r="B236" s="21"/>
      <c r="C236" s="18"/>
      <c r="D236" s="21"/>
      <c r="E236" s="21"/>
      <c r="F236" s="21"/>
      <c r="G236" s="36"/>
      <c r="H236" s="36"/>
      <c r="I236" s="36"/>
      <c r="J236" s="37"/>
      <c r="K236" s="18"/>
      <c r="L236" s="28" t="str">
        <f t="shared" si="33"/>
        <v/>
      </c>
      <c r="M236" s="29" t="str">
        <f t="shared" si="34"/>
        <v/>
      </c>
      <c r="N236" s="29" t="str">
        <f t="shared" si="35"/>
        <v/>
      </c>
      <c r="O236" s="30" t="str">
        <f t="shared" si="36"/>
        <v/>
      </c>
      <c r="P236" s="28" t="str">
        <f>IF($C236="","",IFERROR(INDEX(CA_TG,MATCH(B236,DS_CA,0))-INDEX(CA_NGHI,MATCH(B236,DS_CA,0))-SUMIFS('3 Nhật ký dừng máy'!$I$6:$I$1005,'3 Nhật ký dừng máy'!$A$6:$A$1005,$A236,'3 Nhật ký dừng máy'!$B$6:$B$1005,$B236,'3 Nhật ký dừng máy'!$C$6:$C$1005,$C236,'3 Nhật ký dừng máy'!$K$6:$K$1005,"Có kế hoạch"),"?"))</f>
        <v/>
      </c>
      <c r="Q236" s="28" t="str">
        <f>IF($C236="","",SUMIFS('3 Nhật ký dừng máy'!$I$6:$I$1005,'3 Nhật ký dừng máy'!$A$6:$A$1005,$A236,'3 Nhật ký dừng máy'!$B$6:$B$1005,$B236,'3 Nhật ký dừng máy'!$C$6:$C$1005,$C236,'3 Nhật ký dừng máy'!$K$6:$K$1005,"Ngoài kế hoạch"))</f>
        <v/>
      </c>
      <c r="R236" s="30" t="str">
        <f>IF($C236="","",COUNTIFS('3 Nhật ký dừng máy'!$A$6:$A$1005,$A236,'3 Nhật ký dừng máy'!$B$6:$B$1005,$B236,'3 Nhật ký dừng máy'!$C$6:$C$1005,$C236,'3 Nhật ký dừng máy'!$K$6:$K$1005,"Ngoài kế hoạch"))</f>
        <v/>
      </c>
      <c r="S236" s="31" t="str">
        <f t="shared" si="37"/>
        <v/>
      </c>
      <c r="T236" s="31" t="str">
        <f t="shared" si="38"/>
        <v/>
      </c>
      <c r="U236" s="31" t="str">
        <f t="shared" si="39"/>
        <v/>
      </c>
      <c r="V236" s="32" t="str">
        <f t="shared" si="40"/>
        <v/>
      </c>
      <c r="W236" s="30" t="str">
        <f t="shared" si="41"/>
        <v/>
      </c>
      <c r="X236" s="33" t="str">
        <f t="shared" si="42"/>
        <v/>
      </c>
      <c r="Y236" s="34" t="str">
        <f t="shared" si="43"/>
        <v/>
      </c>
    </row>
    <row r="237" spans="1:25" x14ac:dyDescent="0.2">
      <c r="A237" s="35"/>
      <c r="B237" s="21"/>
      <c r="C237" s="18"/>
      <c r="D237" s="21"/>
      <c r="E237" s="21"/>
      <c r="F237" s="21"/>
      <c r="G237" s="36"/>
      <c r="H237" s="36"/>
      <c r="I237" s="36"/>
      <c r="J237" s="37"/>
      <c r="K237" s="18"/>
      <c r="L237" s="28" t="str">
        <f t="shared" si="33"/>
        <v/>
      </c>
      <c r="M237" s="29" t="str">
        <f t="shared" si="34"/>
        <v/>
      </c>
      <c r="N237" s="29" t="str">
        <f t="shared" si="35"/>
        <v/>
      </c>
      <c r="O237" s="30" t="str">
        <f t="shared" si="36"/>
        <v/>
      </c>
      <c r="P237" s="28" t="str">
        <f>IF($C237="","",IFERROR(INDEX(CA_TG,MATCH(B237,DS_CA,0))-INDEX(CA_NGHI,MATCH(B237,DS_CA,0))-SUMIFS('3 Nhật ký dừng máy'!$I$6:$I$1005,'3 Nhật ký dừng máy'!$A$6:$A$1005,$A237,'3 Nhật ký dừng máy'!$B$6:$B$1005,$B237,'3 Nhật ký dừng máy'!$C$6:$C$1005,$C237,'3 Nhật ký dừng máy'!$K$6:$K$1005,"Có kế hoạch"),"?"))</f>
        <v/>
      </c>
      <c r="Q237" s="28" t="str">
        <f>IF($C237="","",SUMIFS('3 Nhật ký dừng máy'!$I$6:$I$1005,'3 Nhật ký dừng máy'!$A$6:$A$1005,$A237,'3 Nhật ký dừng máy'!$B$6:$B$1005,$B237,'3 Nhật ký dừng máy'!$C$6:$C$1005,$C237,'3 Nhật ký dừng máy'!$K$6:$K$1005,"Ngoài kế hoạch"))</f>
        <v/>
      </c>
      <c r="R237" s="30" t="str">
        <f>IF($C237="","",COUNTIFS('3 Nhật ký dừng máy'!$A$6:$A$1005,$A237,'3 Nhật ký dừng máy'!$B$6:$B$1005,$B237,'3 Nhật ký dừng máy'!$C$6:$C$1005,$C237,'3 Nhật ký dừng máy'!$K$6:$K$1005,"Ngoài kế hoạch"))</f>
        <v/>
      </c>
      <c r="S237" s="31" t="str">
        <f t="shared" si="37"/>
        <v/>
      </c>
      <c r="T237" s="31" t="str">
        <f t="shared" si="38"/>
        <v/>
      </c>
      <c r="U237" s="31" t="str">
        <f t="shared" si="39"/>
        <v/>
      </c>
      <c r="V237" s="32" t="str">
        <f t="shared" si="40"/>
        <v/>
      </c>
      <c r="W237" s="30" t="str">
        <f t="shared" si="41"/>
        <v/>
      </c>
      <c r="X237" s="33" t="str">
        <f t="shared" si="42"/>
        <v/>
      </c>
      <c r="Y237" s="34" t="str">
        <f t="shared" si="43"/>
        <v/>
      </c>
    </row>
    <row r="238" spans="1:25" x14ac:dyDescent="0.2">
      <c r="A238" s="35"/>
      <c r="B238" s="21"/>
      <c r="C238" s="18"/>
      <c r="D238" s="21"/>
      <c r="E238" s="21"/>
      <c r="F238" s="21"/>
      <c r="G238" s="36"/>
      <c r="H238" s="36"/>
      <c r="I238" s="36"/>
      <c r="J238" s="37"/>
      <c r="K238" s="18"/>
      <c r="L238" s="28" t="str">
        <f t="shared" si="33"/>
        <v/>
      </c>
      <c r="M238" s="29" t="str">
        <f t="shared" si="34"/>
        <v/>
      </c>
      <c r="N238" s="29" t="str">
        <f t="shared" si="35"/>
        <v/>
      </c>
      <c r="O238" s="30" t="str">
        <f t="shared" si="36"/>
        <v/>
      </c>
      <c r="P238" s="28" t="str">
        <f>IF($C238="","",IFERROR(INDEX(CA_TG,MATCH(B238,DS_CA,0))-INDEX(CA_NGHI,MATCH(B238,DS_CA,0))-SUMIFS('3 Nhật ký dừng máy'!$I$6:$I$1005,'3 Nhật ký dừng máy'!$A$6:$A$1005,$A238,'3 Nhật ký dừng máy'!$B$6:$B$1005,$B238,'3 Nhật ký dừng máy'!$C$6:$C$1005,$C238,'3 Nhật ký dừng máy'!$K$6:$K$1005,"Có kế hoạch"),"?"))</f>
        <v/>
      </c>
      <c r="Q238" s="28" t="str">
        <f>IF($C238="","",SUMIFS('3 Nhật ký dừng máy'!$I$6:$I$1005,'3 Nhật ký dừng máy'!$A$6:$A$1005,$A238,'3 Nhật ký dừng máy'!$B$6:$B$1005,$B238,'3 Nhật ký dừng máy'!$C$6:$C$1005,$C238,'3 Nhật ký dừng máy'!$K$6:$K$1005,"Ngoài kế hoạch"))</f>
        <v/>
      </c>
      <c r="R238" s="30" t="str">
        <f>IF($C238="","",COUNTIFS('3 Nhật ký dừng máy'!$A$6:$A$1005,$A238,'3 Nhật ký dừng máy'!$B$6:$B$1005,$B238,'3 Nhật ký dừng máy'!$C$6:$C$1005,$C238,'3 Nhật ký dừng máy'!$K$6:$K$1005,"Ngoài kế hoạch"))</f>
        <v/>
      </c>
      <c r="S238" s="31" t="str">
        <f t="shared" si="37"/>
        <v/>
      </c>
      <c r="T238" s="31" t="str">
        <f t="shared" si="38"/>
        <v/>
      </c>
      <c r="U238" s="31" t="str">
        <f t="shared" si="39"/>
        <v/>
      </c>
      <c r="V238" s="32" t="str">
        <f t="shared" si="40"/>
        <v/>
      </c>
      <c r="W238" s="30" t="str">
        <f t="shared" si="41"/>
        <v/>
      </c>
      <c r="X238" s="33" t="str">
        <f t="shared" si="42"/>
        <v/>
      </c>
      <c r="Y238" s="34" t="str">
        <f t="shared" si="43"/>
        <v/>
      </c>
    </row>
    <row r="239" spans="1:25" x14ac:dyDescent="0.2">
      <c r="A239" s="35"/>
      <c r="B239" s="21"/>
      <c r="C239" s="18"/>
      <c r="D239" s="21"/>
      <c r="E239" s="21"/>
      <c r="F239" s="21"/>
      <c r="G239" s="36"/>
      <c r="H239" s="36"/>
      <c r="I239" s="36"/>
      <c r="J239" s="37"/>
      <c r="K239" s="18"/>
      <c r="L239" s="28" t="str">
        <f t="shared" si="33"/>
        <v/>
      </c>
      <c r="M239" s="29" t="str">
        <f t="shared" si="34"/>
        <v/>
      </c>
      <c r="N239" s="29" t="str">
        <f t="shared" si="35"/>
        <v/>
      </c>
      <c r="O239" s="30" t="str">
        <f t="shared" si="36"/>
        <v/>
      </c>
      <c r="P239" s="28" t="str">
        <f>IF($C239="","",IFERROR(INDEX(CA_TG,MATCH(B239,DS_CA,0))-INDEX(CA_NGHI,MATCH(B239,DS_CA,0))-SUMIFS('3 Nhật ký dừng máy'!$I$6:$I$1005,'3 Nhật ký dừng máy'!$A$6:$A$1005,$A239,'3 Nhật ký dừng máy'!$B$6:$B$1005,$B239,'3 Nhật ký dừng máy'!$C$6:$C$1005,$C239,'3 Nhật ký dừng máy'!$K$6:$K$1005,"Có kế hoạch"),"?"))</f>
        <v/>
      </c>
      <c r="Q239" s="28" t="str">
        <f>IF($C239="","",SUMIFS('3 Nhật ký dừng máy'!$I$6:$I$1005,'3 Nhật ký dừng máy'!$A$6:$A$1005,$A239,'3 Nhật ký dừng máy'!$B$6:$B$1005,$B239,'3 Nhật ký dừng máy'!$C$6:$C$1005,$C239,'3 Nhật ký dừng máy'!$K$6:$K$1005,"Ngoài kế hoạch"))</f>
        <v/>
      </c>
      <c r="R239" s="30" t="str">
        <f>IF($C239="","",COUNTIFS('3 Nhật ký dừng máy'!$A$6:$A$1005,$A239,'3 Nhật ký dừng máy'!$B$6:$B$1005,$B239,'3 Nhật ký dừng máy'!$C$6:$C$1005,$C239,'3 Nhật ký dừng máy'!$K$6:$K$1005,"Ngoài kế hoạch"))</f>
        <v/>
      </c>
      <c r="S239" s="31" t="str">
        <f t="shared" si="37"/>
        <v/>
      </c>
      <c r="T239" s="31" t="str">
        <f t="shared" si="38"/>
        <v/>
      </c>
      <c r="U239" s="31" t="str">
        <f t="shared" si="39"/>
        <v/>
      </c>
      <c r="V239" s="32" t="str">
        <f t="shared" si="40"/>
        <v/>
      </c>
      <c r="W239" s="30" t="str">
        <f t="shared" si="41"/>
        <v/>
      </c>
      <c r="X239" s="33" t="str">
        <f t="shared" si="42"/>
        <v/>
      </c>
      <c r="Y239" s="34" t="str">
        <f t="shared" si="43"/>
        <v/>
      </c>
    </row>
    <row r="240" spans="1:25" x14ac:dyDescent="0.2">
      <c r="A240" s="35"/>
      <c r="B240" s="21"/>
      <c r="C240" s="18"/>
      <c r="D240" s="21"/>
      <c r="E240" s="21"/>
      <c r="F240" s="21"/>
      <c r="G240" s="36"/>
      <c r="H240" s="36"/>
      <c r="I240" s="36"/>
      <c r="J240" s="37"/>
      <c r="K240" s="18"/>
      <c r="L240" s="28" t="str">
        <f t="shared" si="33"/>
        <v/>
      </c>
      <c r="M240" s="29" t="str">
        <f t="shared" si="34"/>
        <v/>
      </c>
      <c r="N240" s="29" t="str">
        <f t="shared" si="35"/>
        <v/>
      </c>
      <c r="O240" s="30" t="str">
        <f t="shared" si="36"/>
        <v/>
      </c>
      <c r="P240" s="28" t="str">
        <f>IF($C240="","",IFERROR(INDEX(CA_TG,MATCH(B240,DS_CA,0))-INDEX(CA_NGHI,MATCH(B240,DS_CA,0))-SUMIFS('3 Nhật ký dừng máy'!$I$6:$I$1005,'3 Nhật ký dừng máy'!$A$6:$A$1005,$A240,'3 Nhật ký dừng máy'!$B$6:$B$1005,$B240,'3 Nhật ký dừng máy'!$C$6:$C$1005,$C240,'3 Nhật ký dừng máy'!$K$6:$K$1005,"Có kế hoạch"),"?"))</f>
        <v/>
      </c>
      <c r="Q240" s="28" t="str">
        <f>IF($C240="","",SUMIFS('3 Nhật ký dừng máy'!$I$6:$I$1005,'3 Nhật ký dừng máy'!$A$6:$A$1005,$A240,'3 Nhật ký dừng máy'!$B$6:$B$1005,$B240,'3 Nhật ký dừng máy'!$C$6:$C$1005,$C240,'3 Nhật ký dừng máy'!$K$6:$K$1005,"Ngoài kế hoạch"))</f>
        <v/>
      </c>
      <c r="R240" s="30" t="str">
        <f>IF($C240="","",COUNTIFS('3 Nhật ký dừng máy'!$A$6:$A$1005,$A240,'3 Nhật ký dừng máy'!$B$6:$B$1005,$B240,'3 Nhật ký dừng máy'!$C$6:$C$1005,$C240,'3 Nhật ký dừng máy'!$K$6:$K$1005,"Ngoài kế hoạch"))</f>
        <v/>
      </c>
      <c r="S240" s="31" t="str">
        <f t="shared" si="37"/>
        <v/>
      </c>
      <c r="T240" s="31" t="str">
        <f t="shared" si="38"/>
        <v/>
      </c>
      <c r="U240" s="31" t="str">
        <f t="shared" si="39"/>
        <v/>
      </c>
      <c r="V240" s="32" t="str">
        <f t="shared" si="40"/>
        <v/>
      </c>
      <c r="W240" s="30" t="str">
        <f t="shared" si="41"/>
        <v/>
      </c>
      <c r="X240" s="33" t="str">
        <f t="shared" si="42"/>
        <v/>
      </c>
      <c r="Y240" s="34" t="str">
        <f t="shared" si="43"/>
        <v/>
      </c>
    </row>
    <row r="241" spans="1:25" x14ac:dyDescent="0.2">
      <c r="A241" s="35"/>
      <c r="B241" s="21"/>
      <c r="C241" s="18"/>
      <c r="D241" s="21"/>
      <c r="E241" s="21"/>
      <c r="F241" s="21"/>
      <c r="G241" s="36"/>
      <c r="H241" s="36"/>
      <c r="I241" s="36"/>
      <c r="J241" s="37"/>
      <c r="K241" s="18"/>
      <c r="L241" s="28" t="str">
        <f t="shared" si="33"/>
        <v/>
      </c>
      <c r="M241" s="29" t="str">
        <f t="shared" si="34"/>
        <v/>
      </c>
      <c r="N241" s="29" t="str">
        <f t="shared" si="35"/>
        <v/>
      </c>
      <c r="O241" s="30" t="str">
        <f t="shared" si="36"/>
        <v/>
      </c>
      <c r="P241" s="28" t="str">
        <f>IF($C241="","",IFERROR(INDEX(CA_TG,MATCH(B241,DS_CA,0))-INDEX(CA_NGHI,MATCH(B241,DS_CA,0))-SUMIFS('3 Nhật ký dừng máy'!$I$6:$I$1005,'3 Nhật ký dừng máy'!$A$6:$A$1005,$A241,'3 Nhật ký dừng máy'!$B$6:$B$1005,$B241,'3 Nhật ký dừng máy'!$C$6:$C$1005,$C241,'3 Nhật ký dừng máy'!$K$6:$K$1005,"Có kế hoạch"),"?"))</f>
        <v/>
      </c>
      <c r="Q241" s="28" t="str">
        <f>IF($C241="","",SUMIFS('3 Nhật ký dừng máy'!$I$6:$I$1005,'3 Nhật ký dừng máy'!$A$6:$A$1005,$A241,'3 Nhật ký dừng máy'!$B$6:$B$1005,$B241,'3 Nhật ký dừng máy'!$C$6:$C$1005,$C241,'3 Nhật ký dừng máy'!$K$6:$K$1005,"Ngoài kế hoạch"))</f>
        <v/>
      </c>
      <c r="R241" s="30" t="str">
        <f>IF($C241="","",COUNTIFS('3 Nhật ký dừng máy'!$A$6:$A$1005,$A241,'3 Nhật ký dừng máy'!$B$6:$B$1005,$B241,'3 Nhật ký dừng máy'!$C$6:$C$1005,$C241,'3 Nhật ký dừng máy'!$K$6:$K$1005,"Ngoài kế hoạch"))</f>
        <v/>
      </c>
      <c r="S241" s="31" t="str">
        <f t="shared" si="37"/>
        <v/>
      </c>
      <c r="T241" s="31" t="str">
        <f t="shared" si="38"/>
        <v/>
      </c>
      <c r="U241" s="31" t="str">
        <f t="shared" si="39"/>
        <v/>
      </c>
      <c r="V241" s="32" t="str">
        <f t="shared" si="40"/>
        <v/>
      </c>
      <c r="W241" s="30" t="str">
        <f t="shared" si="41"/>
        <v/>
      </c>
      <c r="X241" s="33" t="str">
        <f t="shared" si="42"/>
        <v/>
      </c>
      <c r="Y241" s="34" t="str">
        <f t="shared" si="43"/>
        <v/>
      </c>
    </row>
    <row r="242" spans="1:25" x14ac:dyDescent="0.2">
      <c r="A242" s="35"/>
      <c r="B242" s="21"/>
      <c r="C242" s="18"/>
      <c r="D242" s="21"/>
      <c r="E242" s="21"/>
      <c r="F242" s="21"/>
      <c r="G242" s="36"/>
      <c r="H242" s="36"/>
      <c r="I242" s="36"/>
      <c r="J242" s="37"/>
      <c r="K242" s="18"/>
      <c r="L242" s="28" t="str">
        <f t="shared" si="33"/>
        <v/>
      </c>
      <c r="M242" s="29" t="str">
        <f t="shared" si="34"/>
        <v/>
      </c>
      <c r="N242" s="29" t="str">
        <f t="shared" si="35"/>
        <v/>
      </c>
      <c r="O242" s="30" t="str">
        <f t="shared" si="36"/>
        <v/>
      </c>
      <c r="P242" s="28" t="str">
        <f>IF($C242="","",IFERROR(INDEX(CA_TG,MATCH(B242,DS_CA,0))-INDEX(CA_NGHI,MATCH(B242,DS_CA,0))-SUMIFS('3 Nhật ký dừng máy'!$I$6:$I$1005,'3 Nhật ký dừng máy'!$A$6:$A$1005,$A242,'3 Nhật ký dừng máy'!$B$6:$B$1005,$B242,'3 Nhật ký dừng máy'!$C$6:$C$1005,$C242,'3 Nhật ký dừng máy'!$K$6:$K$1005,"Có kế hoạch"),"?"))</f>
        <v/>
      </c>
      <c r="Q242" s="28" t="str">
        <f>IF($C242="","",SUMIFS('3 Nhật ký dừng máy'!$I$6:$I$1005,'3 Nhật ký dừng máy'!$A$6:$A$1005,$A242,'3 Nhật ký dừng máy'!$B$6:$B$1005,$B242,'3 Nhật ký dừng máy'!$C$6:$C$1005,$C242,'3 Nhật ký dừng máy'!$K$6:$K$1005,"Ngoài kế hoạch"))</f>
        <v/>
      </c>
      <c r="R242" s="30" t="str">
        <f>IF($C242="","",COUNTIFS('3 Nhật ký dừng máy'!$A$6:$A$1005,$A242,'3 Nhật ký dừng máy'!$B$6:$B$1005,$B242,'3 Nhật ký dừng máy'!$C$6:$C$1005,$C242,'3 Nhật ký dừng máy'!$K$6:$K$1005,"Ngoài kế hoạch"))</f>
        <v/>
      </c>
      <c r="S242" s="31" t="str">
        <f t="shared" si="37"/>
        <v/>
      </c>
      <c r="T242" s="31" t="str">
        <f t="shared" si="38"/>
        <v/>
      </c>
      <c r="U242" s="31" t="str">
        <f t="shared" si="39"/>
        <v/>
      </c>
      <c r="V242" s="32" t="str">
        <f t="shared" si="40"/>
        <v/>
      </c>
      <c r="W242" s="30" t="str">
        <f t="shared" si="41"/>
        <v/>
      </c>
      <c r="X242" s="33" t="str">
        <f t="shared" si="42"/>
        <v/>
      </c>
      <c r="Y242" s="34" t="str">
        <f t="shared" si="43"/>
        <v/>
      </c>
    </row>
    <row r="243" spans="1:25" x14ac:dyDescent="0.2">
      <c r="A243" s="35"/>
      <c r="B243" s="21"/>
      <c r="C243" s="18"/>
      <c r="D243" s="21"/>
      <c r="E243" s="21"/>
      <c r="F243" s="21"/>
      <c r="G243" s="36"/>
      <c r="H243" s="36"/>
      <c r="I243" s="36"/>
      <c r="J243" s="37"/>
      <c r="K243" s="18"/>
      <c r="L243" s="28" t="str">
        <f t="shared" si="33"/>
        <v/>
      </c>
      <c r="M243" s="29" t="str">
        <f t="shared" si="34"/>
        <v/>
      </c>
      <c r="N243" s="29" t="str">
        <f t="shared" si="35"/>
        <v/>
      </c>
      <c r="O243" s="30" t="str">
        <f t="shared" si="36"/>
        <v/>
      </c>
      <c r="P243" s="28" t="str">
        <f>IF($C243="","",IFERROR(INDEX(CA_TG,MATCH(B243,DS_CA,0))-INDEX(CA_NGHI,MATCH(B243,DS_CA,0))-SUMIFS('3 Nhật ký dừng máy'!$I$6:$I$1005,'3 Nhật ký dừng máy'!$A$6:$A$1005,$A243,'3 Nhật ký dừng máy'!$B$6:$B$1005,$B243,'3 Nhật ký dừng máy'!$C$6:$C$1005,$C243,'3 Nhật ký dừng máy'!$K$6:$K$1005,"Có kế hoạch"),"?"))</f>
        <v/>
      </c>
      <c r="Q243" s="28" t="str">
        <f>IF($C243="","",SUMIFS('3 Nhật ký dừng máy'!$I$6:$I$1005,'3 Nhật ký dừng máy'!$A$6:$A$1005,$A243,'3 Nhật ký dừng máy'!$B$6:$B$1005,$B243,'3 Nhật ký dừng máy'!$C$6:$C$1005,$C243,'3 Nhật ký dừng máy'!$K$6:$K$1005,"Ngoài kế hoạch"))</f>
        <v/>
      </c>
      <c r="R243" s="30" t="str">
        <f>IF($C243="","",COUNTIFS('3 Nhật ký dừng máy'!$A$6:$A$1005,$A243,'3 Nhật ký dừng máy'!$B$6:$B$1005,$B243,'3 Nhật ký dừng máy'!$C$6:$C$1005,$C243,'3 Nhật ký dừng máy'!$K$6:$K$1005,"Ngoài kế hoạch"))</f>
        <v/>
      </c>
      <c r="S243" s="31" t="str">
        <f t="shared" si="37"/>
        <v/>
      </c>
      <c r="T243" s="31" t="str">
        <f t="shared" si="38"/>
        <v/>
      </c>
      <c r="U243" s="31" t="str">
        <f t="shared" si="39"/>
        <v/>
      </c>
      <c r="V243" s="32" t="str">
        <f t="shared" si="40"/>
        <v/>
      </c>
      <c r="W243" s="30" t="str">
        <f t="shared" si="41"/>
        <v/>
      </c>
      <c r="X243" s="33" t="str">
        <f t="shared" si="42"/>
        <v/>
      </c>
      <c r="Y243" s="34" t="str">
        <f t="shared" si="43"/>
        <v/>
      </c>
    </row>
    <row r="244" spans="1:25" x14ac:dyDescent="0.2">
      <c r="A244" s="35"/>
      <c r="B244" s="21"/>
      <c r="C244" s="18"/>
      <c r="D244" s="21"/>
      <c r="E244" s="21"/>
      <c r="F244" s="21"/>
      <c r="G244" s="36"/>
      <c r="H244" s="36"/>
      <c r="I244" s="36"/>
      <c r="J244" s="37"/>
      <c r="K244" s="18"/>
      <c r="L244" s="28" t="str">
        <f t="shared" si="33"/>
        <v/>
      </c>
      <c r="M244" s="29" t="str">
        <f t="shared" si="34"/>
        <v/>
      </c>
      <c r="N244" s="29" t="str">
        <f t="shared" si="35"/>
        <v/>
      </c>
      <c r="O244" s="30" t="str">
        <f t="shared" si="36"/>
        <v/>
      </c>
      <c r="P244" s="28" t="str">
        <f>IF($C244="","",IFERROR(INDEX(CA_TG,MATCH(B244,DS_CA,0))-INDEX(CA_NGHI,MATCH(B244,DS_CA,0))-SUMIFS('3 Nhật ký dừng máy'!$I$6:$I$1005,'3 Nhật ký dừng máy'!$A$6:$A$1005,$A244,'3 Nhật ký dừng máy'!$B$6:$B$1005,$B244,'3 Nhật ký dừng máy'!$C$6:$C$1005,$C244,'3 Nhật ký dừng máy'!$K$6:$K$1005,"Có kế hoạch"),"?"))</f>
        <v/>
      </c>
      <c r="Q244" s="28" t="str">
        <f>IF($C244="","",SUMIFS('3 Nhật ký dừng máy'!$I$6:$I$1005,'3 Nhật ký dừng máy'!$A$6:$A$1005,$A244,'3 Nhật ký dừng máy'!$B$6:$B$1005,$B244,'3 Nhật ký dừng máy'!$C$6:$C$1005,$C244,'3 Nhật ký dừng máy'!$K$6:$K$1005,"Ngoài kế hoạch"))</f>
        <v/>
      </c>
      <c r="R244" s="30" t="str">
        <f>IF($C244="","",COUNTIFS('3 Nhật ký dừng máy'!$A$6:$A$1005,$A244,'3 Nhật ký dừng máy'!$B$6:$B$1005,$B244,'3 Nhật ký dừng máy'!$C$6:$C$1005,$C244,'3 Nhật ký dừng máy'!$K$6:$K$1005,"Ngoài kế hoạch"))</f>
        <v/>
      </c>
      <c r="S244" s="31" t="str">
        <f t="shared" si="37"/>
        <v/>
      </c>
      <c r="T244" s="31" t="str">
        <f t="shared" si="38"/>
        <v/>
      </c>
      <c r="U244" s="31" t="str">
        <f t="shared" si="39"/>
        <v/>
      </c>
      <c r="V244" s="32" t="str">
        <f t="shared" si="40"/>
        <v/>
      </c>
      <c r="W244" s="30" t="str">
        <f t="shared" si="41"/>
        <v/>
      </c>
      <c r="X244" s="33" t="str">
        <f t="shared" si="42"/>
        <v/>
      </c>
      <c r="Y244" s="34" t="str">
        <f t="shared" si="43"/>
        <v/>
      </c>
    </row>
    <row r="245" spans="1:25" x14ac:dyDescent="0.2">
      <c r="A245" s="35"/>
      <c r="B245" s="21"/>
      <c r="C245" s="18"/>
      <c r="D245" s="21"/>
      <c r="E245" s="21"/>
      <c r="F245" s="21"/>
      <c r="G245" s="36"/>
      <c r="H245" s="36"/>
      <c r="I245" s="36"/>
      <c r="J245" s="37"/>
      <c r="K245" s="18"/>
      <c r="L245" s="28" t="str">
        <f t="shared" si="33"/>
        <v/>
      </c>
      <c r="M245" s="29" t="str">
        <f t="shared" si="34"/>
        <v/>
      </c>
      <c r="N245" s="29" t="str">
        <f t="shared" si="35"/>
        <v/>
      </c>
      <c r="O245" s="30" t="str">
        <f t="shared" si="36"/>
        <v/>
      </c>
      <c r="P245" s="28" t="str">
        <f>IF($C245="","",IFERROR(INDEX(CA_TG,MATCH(B245,DS_CA,0))-INDEX(CA_NGHI,MATCH(B245,DS_CA,0))-SUMIFS('3 Nhật ký dừng máy'!$I$6:$I$1005,'3 Nhật ký dừng máy'!$A$6:$A$1005,$A245,'3 Nhật ký dừng máy'!$B$6:$B$1005,$B245,'3 Nhật ký dừng máy'!$C$6:$C$1005,$C245,'3 Nhật ký dừng máy'!$K$6:$K$1005,"Có kế hoạch"),"?"))</f>
        <v/>
      </c>
      <c r="Q245" s="28" t="str">
        <f>IF($C245="","",SUMIFS('3 Nhật ký dừng máy'!$I$6:$I$1005,'3 Nhật ký dừng máy'!$A$6:$A$1005,$A245,'3 Nhật ký dừng máy'!$B$6:$B$1005,$B245,'3 Nhật ký dừng máy'!$C$6:$C$1005,$C245,'3 Nhật ký dừng máy'!$K$6:$K$1005,"Ngoài kế hoạch"))</f>
        <v/>
      </c>
      <c r="R245" s="30" t="str">
        <f>IF($C245="","",COUNTIFS('3 Nhật ký dừng máy'!$A$6:$A$1005,$A245,'3 Nhật ký dừng máy'!$B$6:$B$1005,$B245,'3 Nhật ký dừng máy'!$C$6:$C$1005,$C245,'3 Nhật ký dừng máy'!$K$6:$K$1005,"Ngoài kế hoạch"))</f>
        <v/>
      </c>
      <c r="S245" s="31" t="str">
        <f t="shared" si="37"/>
        <v/>
      </c>
      <c r="T245" s="31" t="str">
        <f t="shared" si="38"/>
        <v/>
      </c>
      <c r="U245" s="31" t="str">
        <f t="shared" si="39"/>
        <v/>
      </c>
      <c r="V245" s="32" t="str">
        <f t="shared" si="40"/>
        <v/>
      </c>
      <c r="W245" s="30" t="str">
        <f t="shared" si="41"/>
        <v/>
      </c>
      <c r="X245" s="33" t="str">
        <f t="shared" si="42"/>
        <v/>
      </c>
      <c r="Y245" s="34" t="str">
        <f t="shared" si="43"/>
        <v/>
      </c>
    </row>
    <row r="246" spans="1:25" x14ac:dyDescent="0.2">
      <c r="A246" s="35"/>
      <c r="B246" s="21"/>
      <c r="C246" s="18"/>
      <c r="D246" s="21"/>
      <c r="E246" s="21"/>
      <c r="F246" s="21"/>
      <c r="G246" s="36"/>
      <c r="H246" s="36"/>
      <c r="I246" s="36"/>
      <c r="J246" s="37"/>
      <c r="K246" s="18"/>
      <c r="L246" s="28" t="str">
        <f t="shared" si="33"/>
        <v/>
      </c>
      <c r="M246" s="29" t="str">
        <f t="shared" si="34"/>
        <v/>
      </c>
      <c r="N246" s="29" t="str">
        <f t="shared" si="35"/>
        <v/>
      </c>
      <c r="O246" s="30" t="str">
        <f t="shared" si="36"/>
        <v/>
      </c>
      <c r="P246" s="28" t="str">
        <f>IF($C246="","",IFERROR(INDEX(CA_TG,MATCH(B246,DS_CA,0))-INDEX(CA_NGHI,MATCH(B246,DS_CA,0))-SUMIFS('3 Nhật ký dừng máy'!$I$6:$I$1005,'3 Nhật ký dừng máy'!$A$6:$A$1005,$A246,'3 Nhật ký dừng máy'!$B$6:$B$1005,$B246,'3 Nhật ký dừng máy'!$C$6:$C$1005,$C246,'3 Nhật ký dừng máy'!$K$6:$K$1005,"Có kế hoạch"),"?"))</f>
        <v/>
      </c>
      <c r="Q246" s="28" t="str">
        <f>IF($C246="","",SUMIFS('3 Nhật ký dừng máy'!$I$6:$I$1005,'3 Nhật ký dừng máy'!$A$6:$A$1005,$A246,'3 Nhật ký dừng máy'!$B$6:$B$1005,$B246,'3 Nhật ký dừng máy'!$C$6:$C$1005,$C246,'3 Nhật ký dừng máy'!$K$6:$K$1005,"Ngoài kế hoạch"))</f>
        <v/>
      </c>
      <c r="R246" s="30" t="str">
        <f>IF($C246="","",COUNTIFS('3 Nhật ký dừng máy'!$A$6:$A$1005,$A246,'3 Nhật ký dừng máy'!$B$6:$B$1005,$B246,'3 Nhật ký dừng máy'!$C$6:$C$1005,$C246,'3 Nhật ký dừng máy'!$K$6:$K$1005,"Ngoài kế hoạch"))</f>
        <v/>
      </c>
      <c r="S246" s="31" t="str">
        <f t="shared" si="37"/>
        <v/>
      </c>
      <c r="T246" s="31" t="str">
        <f t="shared" si="38"/>
        <v/>
      </c>
      <c r="U246" s="31" t="str">
        <f t="shared" si="39"/>
        <v/>
      </c>
      <c r="V246" s="32" t="str">
        <f t="shared" si="40"/>
        <v/>
      </c>
      <c r="W246" s="30" t="str">
        <f t="shared" si="41"/>
        <v/>
      </c>
      <c r="X246" s="33" t="str">
        <f t="shared" si="42"/>
        <v/>
      </c>
      <c r="Y246" s="34" t="str">
        <f t="shared" si="43"/>
        <v/>
      </c>
    </row>
    <row r="247" spans="1:25" x14ac:dyDescent="0.2">
      <c r="A247" s="35"/>
      <c r="B247" s="21"/>
      <c r="C247" s="18"/>
      <c r="D247" s="21"/>
      <c r="E247" s="21"/>
      <c r="F247" s="21"/>
      <c r="G247" s="36"/>
      <c r="H247" s="36"/>
      <c r="I247" s="36"/>
      <c r="J247" s="37"/>
      <c r="K247" s="18"/>
      <c r="L247" s="28" t="str">
        <f t="shared" si="33"/>
        <v/>
      </c>
      <c r="M247" s="29" t="str">
        <f t="shared" si="34"/>
        <v/>
      </c>
      <c r="N247" s="29" t="str">
        <f t="shared" si="35"/>
        <v/>
      </c>
      <c r="O247" s="30" t="str">
        <f t="shared" si="36"/>
        <v/>
      </c>
      <c r="P247" s="28" t="str">
        <f>IF($C247="","",IFERROR(INDEX(CA_TG,MATCH(B247,DS_CA,0))-INDEX(CA_NGHI,MATCH(B247,DS_CA,0))-SUMIFS('3 Nhật ký dừng máy'!$I$6:$I$1005,'3 Nhật ký dừng máy'!$A$6:$A$1005,$A247,'3 Nhật ký dừng máy'!$B$6:$B$1005,$B247,'3 Nhật ký dừng máy'!$C$6:$C$1005,$C247,'3 Nhật ký dừng máy'!$K$6:$K$1005,"Có kế hoạch"),"?"))</f>
        <v/>
      </c>
      <c r="Q247" s="28" t="str">
        <f>IF($C247="","",SUMIFS('3 Nhật ký dừng máy'!$I$6:$I$1005,'3 Nhật ký dừng máy'!$A$6:$A$1005,$A247,'3 Nhật ký dừng máy'!$B$6:$B$1005,$B247,'3 Nhật ký dừng máy'!$C$6:$C$1005,$C247,'3 Nhật ký dừng máy'!$K$6:$K$1005,"Ngoài kế hoạch"))</f>
        <v/>
      </c>
      <c r="R247" s="30" t="str">
        <f>IF($C247="","",COUNTIFS('3 Nhật ký dừng máy'!$A$6:$A$1005,$A247,'3 Nhật ký dừng máy'!$B$6:$B$1005,$B247,'3 Nhật ký dừng máy'!$C$6:$C$1005,$C247,'3 Nhật ký dừng máy'!$K$6:$K$1005,"Ngoài kế hoạch"))</f>
        <v/>
      </c>
      <c r="S247" s="31" t="str">
        <f t="shared" si="37"/>
        <v/>
      </c>
      <c r="T247" s="31" t="str">
        <f t="shared" si="38"/>
        <v/>
      </c>
      <c r="U247" s="31" t="str">
        <f t="shared" si="39"/>
        <v/>
      </c>
      <c r="V247" s="32" t="str">
        <f t="shared" si="40"/>
        <v/>
      </c>
      <c r="W247" s="30" t="str">
        <f t="shared" si="41"/>
        <v/>
      </c>
      <c r="X247" s="33" t="str">
        <f t="shared" si="42"/>
        <v/>
      </c>
      <c r="Y247" s="34" t="str">
        <f t="shared" si="43"/>
        <v/>
      </c>
    </row>
    <row r="248" spans="1:25" x14ac:dyDescent="0.2">
      <c r="A248" s="35"/>
      <c r="B248" s="21"/>
      <c r="C248" s="18"/>
      <c r="D248" s="21"/>
      <c r="E248" s="21"/>
      <c r="F248" s="21"/>
      <c r="G248" s="36"/>
      <c r="H248" s="36"/>
      <c r="I248" s="36"/>
      <c r="J248" s="37"/>
      <c r="K248" s="18"/>
      <c r="L248" s="28" t="str">
        <f t="shared" si="33"/>
        <v/>
      </c>
      <c r="M248" s="29" t="str">
        <f t="shared" si="34"/>
        <v/>
      </c>
      <c r="N248" s="29" t="str">
        <f t="shared" si="35"/>
        <v/>
      </c>
      <c r="O248" s="30" t="str">
        <f t="shared" si="36"/>
        <v/>
      </c>
      <c r="P248" s="28" t="str">
        <f>IF($C248="","",IFERROR(INDEX(CA_TG,MATCH(B248,DS_CA,0))-INDEX(CA_NGHI,MATCH(B248,DS_CA,0))-SUMIFS('3 Nhật ký dừng máy'!$I$6:$I$1005,'3 Nhật ký dừng máy'!$A$6:$A$1005,$A248,'3 Nhật ký dừng máy'!$B$6:$B$1005,$B248,'3 Nhật ký dừng máy'!$C$6:$C$1005,$C248,'3 Nhật ký dừng máy'!$K$6:$K$1005,"Có kế hoạch"),"?"))</f>
        <v/>
      </c>
      <c r="Q248" s="28" t="str">
        <f>IF($C248="","",SUMIFS('3 Nhật ký dừng máy'!$I$6:$I$1005,'3 Nhật ký dừng máy'!$A$6:$A$1005,$A248,'3 Nhật ký dừng máy'!$B$6:$B$1005,$B248,'3 Nhật ký dừng máy'!$C$6:$C$1005,$C248,'3 Nhật ký dừng máy'!$K$6:$K$1005,"Ngoài kế hoạch"))</f>
        <v/>
      </c>
      <c r="R248" s="30" t="str">
        <f>IF($C248="","",COUNTIFS('3 Nhật ký dừng máy'!$A$6:$A$1005,$A248,'3 Nhật ký dừng máy'!$B$6:$B$1005,$B248,'3 Nhật ký dừng máy'!$C$6:$C$1005,$C248,'3 Nhật ký dừng máy'!$K$6:$K$1005,"Ngoài kế hoạch"))</f>
        <v/>
      </c>
      <c r="S248" s="31" t="str">
        <f t="shared" si="37"/>
        <v/>
      </c>
      <c r="T248" s="31" t="str">
        <f t="shared" si="38"/>
        <v/>
      </c>
      <c r="U248" s="31" t="str">
        <f t="shared" si="39"/>
        <v/>
      </c>
      <c r="V248" s="32" t="str">
        <f t="shared" si="40"/>
        <v/>
      </c>
      <c r="W248" s="30" t="str">
        <f t="shared" si="41"/>
        <v/>
      </c>
      <c r="X248" s="33" t="str">
        <f t="shared" si="42"/>
        <v/>
      </c>
      <c r="Y248" s="34" t="str">
        <f t="shared" si="43"/>
        <v/>
      </c>
    </row>
    <row r="249" spans="1:25" x14ac:dyDescent="0.2">
      <c r="A249" s="35"/>
      <c r="B249" s="21"/>
      <c r="C249" s="18"/>
      <c r="D249" s="21"/>
      <c r="E249" s="21"/>
      <c r="F249" s="21"/>
      <c r="G249" s="36"/>
      <c r="H249" s="36"/>
      <c r="I249" s="36"/>
      <c r="J249" s="37"/>
      <c r="K249" s="18"/>
      <c r="L249" s="28" t="str">
        <f t="shared" si="33"/>
        <v/>
      </c>
      <c r="M249" s="29" t="str">
        <f t="shared" si="34"/>
        <v/>
      </c>
      <c r="N249" s="29" t="str">
        <f t="shared" si="35"/>
        <v/>
      </c>
      <c r="O249" s="30" t="str">
        <f t="shared" si="36"/>
        <v/>
      </c>
      <c r="P249" s="28" t="str">
        <f>IF($C249="","",IFERROR(INDEX(CA_TG,MATCH(B249,DS_CA,0))-INDEX(CA_NGHI,MATCH(B249,DS_CA,0))-SUMIFS('3 Nhật ký dừng máy'!$I$6:$I$1005,'3 Nhật ký dừng máy'!$A$6:$A$1005,$A249,'3 Nhật ký dừng máy'!$B$6:$B$1005,$B249,'3 Nhật ký dừng máy'!$C$6:$C$1005,$C249,'3 Nhật ký dừng máy'!$K$6:$K$1005,"Có kế hoạch"),"?"))</f>
        <v/>
      </c>
      <c r="Q249" s="28" t="str">
        <f>IF($C249="","",SUMIFS('3 Nhật ký dừng máy'!$I$6:$I$1005,'3 Nhật ký dừng máy'!$A$6:$A$1005,$A249,'3 Nhật ký dừng máy'!$B$6:$B$1005,$B249,'3 Nhật ký dừng máy'!$C$6:$C$1005,$C249,'3 Nhật ký dừng máy'!$K$6:$K$1005,"Ngoài kế hoạch"))</f>
        <v/>
      </c>
      <c r="R249" s="30" t="str">
        <f>IF($C249="","",COUNTIFS('3 Nhật ký dừng máy'!$A$6:$A$1005,$A249,'3 Nhật ký dừng máy'!$B$6:$B$1005,$B249,'3 Nhật ký dừng máy'!$C$6:$C$1005,$C249,'3 Nhật ký dừng máy'!$K$6:$K$1005,"Ngoài kế hoạch"))</f>
        <v/>
      </c>
      <c r="S249" s="31" t="str">
        <f t="shared" si="37"/>
        <v/>
      </c>
      <c r="T249" s="31" t="str">
        <f t="shared" si="38"/>
        <v/>
      </c>
      <c r="U249" s="31" t="str">
        <f t="shared" si="39"/>
        <v/>
      </c>
      <c r="V249" s="32" t="str">
        <f t="shared" si="40"/>
        <v/>
      </c>
      <c r="W249" s="30" t="str">
        <f t="shared" si="41"/>
        <v/>
      </c>
      <c r="X249" s="33" t="str">
        <f t="shared" si="42"/>
        <v/>
      </c>
      <c r="Y249" s="34" t="str">
        <f t="shared" si="43"/>
        <v/>
      </c>
    </row>
    <row r="250" spans="1:25" x14ac:dyDescent="0.2">
      <c r="A250" s="35"/>
      <c r="B250" s="21"/>
      <c r="C250" s="18"/>
      <c r="D250" s="21"/>
      <c r="E250" s="21"/>
      <c r="F250" s="21"/>
      <c r="G250" s="36"/>
      <c r="H250" s="36"/>
      <c r="I250" s="36"/>
      <c r="J250" s="37"/>
      <c r="K250" s="18"/>
      <c r="L250" s="28" t="str">
        <f t="shared" si="33"/>
        <v/>
      </c>
      <c r="M250" s="29" t="str">
        <f t="shared" si="34"/>
        <v/>
      </c>
      <c r="N250" s="29" t="str">
        <f t="shared" si="35"/>
        <v/>
      </c>
      <c r="O250" s="30" t="str">
        <f t="shared" si="36"/>
        <v/>
      </c>
      <c r="P250" s="28" t="str">
        <f>IF($C250="","",IFERROR(INDEX(CA_TG,MATCH(B250,DS_CA,0))-INDEX(CA_NGHI,MATCH(B250,DS_CA,0))-SUMIFS('3 Nhật ký dừng máy'!$I$6:$I$1005,'3 Nhật ký dừng máy'!$A$6:$A$1005,$A250,'3 Nhật ký dừng máy'!$B$6:$B$1005,$B250,'3 Nhật ký dừng máy'!$C$6:$C$1005,$C250,'3 Nhật ký dừng máy'!$K$6:$K$1005,"Có kế hoạch"),"?"))</f>
        <v/>
      </c>
      <c r="Q250" s="28" t="str">
        <f>IF($C250="","",SUMIFS('3 Nhật ký dừng máy'!$I$6:$I$1005,'3 Nhật ký dừng máy'!$A$6:$A$1005,$A250,'3 Nhật ký dừng máy'!$B$6:$B$1005,$B250,'3 Nhật ký dừng máy'!$C$6:$C$1005,$C250,'3 Nhật ký dừng máy'!$K$6:$K$1005,"Ngoài kế hoạch"))</f>
        <v/>
      </c>
      <c r="R250" s="30" t="str">
        <f>IF($C250="","",COUNTIFS('3 Nhật ký dừng máy'!$A$6:$A$1005,$A250,'3 Nhật ký dừng máy'!$B$6:$B$1005,$B250,'3 Nhật ký dừng máy'!$C$6:$C$1005,$C250,'3 Nhật ký dừng máy'!$K$6:$K$1005,"Ngoài kế hoạch"))</f>
        <v/>
      </c>
      <c r="S250" s="31" t="str">
        <f t="shared" si="37"/>
        <v/>
      </c>
      <c r="T250" s="31" t="str">
        <f t="shared" si="38"/>
        <v/>
      </c>
      <c r="U250" s="31" t="str">
        <f t="shared" si="39"/>
        <v/>
      </c>
      <c r="V250" s="32" t="str">
        <f t="shared" si="40"/>
        <v/>
      </c>
      <c r="W250" s="30" t="str">
        <f t="shared" si="41"/>
        <v/>
      </c>
      <c r="X250" s="33" t="str">
        <f t="shared" si="42"/>
        <v/>
      </c>
      <c r="Y250" s="34" t="str">
        <f t="shared" si="43"/>
        <v/>
      </c>
    </row>
    <row r="251" spans="1:25" x14ac:dyDescent="0.2">
      <c r="A251" s="35"/>
      <c r="B251" s="21"/>
      <c r="C251" s="18"/>
      <c r="D251" s="21"/>
      <c r="E251" s="21"/>
      <c r="F251" s="21"/>
      <c r="G251" s="36"/>
      <c r="H251" s="36"/>
      <c r="I251" s="36"/>
      <c r="J251" s="37"/>
      <c r="K251" s="18"/>
      <c r="L251" s="28" t="str">
        <f t="shared" si="33"/>
        <v/>
      </c>
      <c r="M251" s="29" t="str">
        <f t="shared" si="34"/>
        <v/>
      </c>
      <c r="N251" s="29" t="str">
        <f t="shared" si="35"/>
        <v/>
      </c>
      <c r="O251" s="30" t="str">
        <f t="shared" si="36"/>
        <v/>
      </c>
      <c r="P251" s="28" t="str">
        <f>IF($C251="","",IFERROR(INDEX(CA_TG,MATCH(B251,DS_CA,0))-INDEX(CA_NGHI,MATCH(B251,DS_CA,0))-SUMIFS('3 Nhật ký dừng máy'!$I$6:$I$1005,'3 Nhật ký dừng máy'!$A$6:$A$1005,$A251,'3 Nhật ký dừng máy'!$B$6:$B$1005,$B251,'3 Nhật ký dừng máy'!$C$6:$C$1005,$C251,'3 Nhật ký dừng máy'!$K$6:$K$1005,"Có kế hoạch"),"?"))</f>
        <v/>
      </c>
      <c r="Q251" s="28" t="str">
        <f>IF($C251="","",SUMIFS('3 Nhật ký dừng máy'!$I$6:$I$1005,'3 Nhật ký dừng máy'!$A$6:$A$1005,$A251,'3 Nhật ký dừng máy'!$B$6:$B$1005,$B251,'3 Nhật ký dừng máy'!$C$6:$C$1005,$C251,'3 Nhật ký dừng máy'!$K$6:$K$1005,"Ngoài kế hoạch"))</f>
        <v/>
      </c>
      <c r="R251" s="30" t="str">
        <f>IF($C251="","",COUNTIFS('3 Nhật ký dừng máy'!$A$6:$A$1005,$A251,'3 Nhật ký dừng máy'!$B$6:$B$1005,$B251,'3 Nhật ký dừng máy'!$C$6:$C$1005,$C251,'3 Nhật ký dừng máy'!$K$6:$K$1005,"Ngoài kế hoạch"))</f>
        <v/>
      </c>
      <c r="S251" s="31" t="str">
        <f t="shared" si="37"/>
        <v/>
      </c>
      <c r="T251" s="31" t="str">
        <f t="shared" si="38"/>
        <v/>
      </c>
      <c r="U251" s="31" t="str">
        <f t="shared" si="39"/>
        <v/>
      </c>
      <c r="V251" s="32" t="str">
        <f t="shared" si="40"/>
        <v/>
      </c>
      <c r="W251" s="30" t="str">
        <f t="shared" si="41"/>
        <v/>
      </c>
      <c r="X251" s="33" t="str">
        <f t="shared" si="42"/>
        <v/>
      </c>
      <c r="Y251" s="34" t="str">
        <f t="shared" si="43"/>
        <v/>
      </c>
    </row>
    <row r="252" spans="1:25" x14ac:dyDescent="0.2">
      <c r="A252" s="35"/>
      <c r="B252" s="21"/>
      <c r="C252" s="18"/>
      <c r="D252" s="21"/>
      <c r="E252" s="21"/>
      <c r="F252" s="21"/>
      <c r="G252" s="36"/>
      <c r="H252" s="36"/>
      <c r="I252" s="36"/>
      <c r="J252" s="37"/>
      <c r="K252" s="18"/>
      <c r="L252" s="28" t="str">
        <f t="shared" si="33"/>
        <v/>
      </c>
      <c r="M252" s="29" t="str">
        <f t="shared" si="34"/>
        <v/>
      </c>
      <c r="N252" s="29" t="str">
        <f t="shared" si="35"/>
        <v/>
      </c>
      <c r="O252" s="30" t="str">
        <f t="shared" si="36"/>
        <v/>
      </c>
      <c r="P252" s="28" t="str">
        <f>IF($C252="","",IFERROR(INDEX(CA_TG,MATCH(B252,DS_CA,0))-INDEX(CA_NGHI,MATCH(B252,DS_CA,0))-SUMIFS('3 Nhật ký dừng máy'!$I$6:$I$1005,'3 Nhật ký dừng máy'!$A$6:$A$1005,$A252,'3 Nhật ký dừng máy'!$B$6:$B$1005,$B252,'3 Nhật ký dừng máy'!$C$6:$C$1005,$C252,'3 Nhật ký dừng máy'!$K$6:$K$1005,"Có kế hoạch"),"?"))</f>
        <v/>
      </c>
      <c r="Q252" s="28" t="str">
        <f>IF($C252="","",SUMIFS('3 Nhật ký dừng máy'!$I$6:$I$1005,'3 Nhật ký dừng máy'!$A$6:$A$1005,$A252,'3 Nhật ký dừng máy'!$B$6:$B$1005,$B252,'3 Nhật ký dừng máy'!$C$6:$C$1005,$C252,'3 Nhật ký dừng máy'!$K$6:$K$1005,"Ngoài kế hoạch"))</f>
        <v/>
      </c>
      <c r="R252" s="30" t="str">
        <f>IF($C252="","",COUNTIFS('3 Nhật ký dừng máy'!$A$6:$A$1005,$A252,'3 Nhật ký dừng máy'!$B$6:$B$1005,$B252,'3 Nhật ký dừng máy'!$C$6:$C$1005,$C252,'3 Nhật ký dừng máy'!$K$6:$K$1005,"Ngoài kế hoạch"))</f>
        <v/>
      </c>
      <c r="S252" s="31" t="str">
        <f t="shared" si="37"/>
        <v/>
      </c>
      <c r="T252" s="31" t="str">
        <f t="shared" si="38"/>
        <v/>
      </c>
      <c r="U252" s="31" t="str">
        <f t="shared" si="39"/>
        <v/>
      </c>
      <c r="V252" s="32" t="str">
        <f t="shared" si="40"/>
        <v/>
      </c>
      <c r="W252" s="30" t="str">
        <f t="shared" si="41"/>
        <v/>
      </c>
      <c r="X252" s="33" t="str">
        <f t="shared" si="42"/>
        <v/>
      </c>
      <c r="Y252" s="34" t="str">
        <f t="shared" si="43"/>
        <v/>
      </c>
    </row>
    <row r="253" spans="1:25" x14ac:dyDescent="0.2">
      <c r="A253" s="35"/>
      <c r="B253" s="21"/>
      <c r="C253" s="18"/>
      <c r="D253" s="21"/>
      <c r="E253" s="21"/>
      <c r="F253" s="21"/>
      <c r="G253" s="36"/>
      <c r="H253" s="36"/>
      <c r="I253" s="36"/>
      <c r="J253" s="37"/>
      <c r="K253" s="18"/>
      <c r="L253" s="28" t="str">
        <f t="shared" si="33"/>
        <v/>
      </c>
      <c r="M253" s="29" t="str">
        <f t="shared" si="34"/>
        <v/>
      </c>
      <c r="N253" s="29" t="str">
        <f t="shared" si="35"/>
        <v/>
      </c>
      <c r="O253" s="30" t="str">
        <f t="shared" si="36"/>
        <v/>
      </c>
      <c r="P253" s="28" t="str">
        <f>IF($C253="","",IFERROR(INDEX(CA_TG,MATCH(B253,DS_CA,0))-INDEX(CA_NGHI,MATCH(B253,DS_CA,0))-SUMIFS('3 Nhật ký dừng máy'!$I$6:$I$1005,'3 Nhật ký dừng máy'!$A$6:$A$1005,$A253,'3 Nhật ký dừng máy'!$B$6:$B$1005,$B253,'3 Nhật ký dừng máy'!$C$6:$C$1005,$C253,'3 Nhật ký dừng máy'!$K$6:$K$1005,"Có kế hoạch"),"?"))</f>
        <v/>
      </c>
      <c r="Q253" s="28" t="str">
        <f>IF($C253="","",SUMIFS('3 Nhật ký dừng máy'!$I$6:$I$1005,'3 Nhật ký dừng máy'!$A$6:$A$1005,$A253,'3 Nhật ký dừng máy'!$B$6:$B$1005,$B253,'3 Nhật ký dừng máy'!$C$6:$C$1005,$C253,'3 Nhật ký dừng máy'!$K$6:$K$1005,"Ngoài kế hoạch"))</f>
        <v/>
      </c>
      <c r="R253" s="30" t="str">
        <f>IF($C253="","",COUNTIFS('3 Nhật ký dừng máy'!$A$6:$A$1005,$A253,'3 Nhật ký dừng máy'!$B$6:$B$1005,$B253,'3 Nhật ký dừng máy'!$C$6:$C$1005,$C253,'3 Nhật ký dừng máy'!$K$6:$K$1005,"Ngoài kế hoạch"))</f>
        <v/>
      </c>
      <c r="S253" s="31" t="str">
        <f t="shared" si="37"/>
        <v/>
      </c>
      <c r="T253" s="31" t="str">
        <f t="shared" si="38"/>
        <v/>
      </c>
      <c r="U253" s="31" t="str">
        <f t="shared" si="39"/>
        <v/>
      </c>
      <c r="V253" s="32" t="str">
        <f t="shared" si="40"/>
        <v/>
      </c>
      <c r="W253" s="30" t="str">
        <f t="shared" si="41"/>
        <v/>
      </c>
      <c r="X253" s="33" t="str">
        <f t="shared" si="42"/>
        <v/>
      </c>
      <c r="Y253" s="34" t="str">
        <f t="shared" si="43"/>
        <v/>
      </c>
    </row>
    <row r="254" spans="1:25" x14ac:dyDescent="0.2">
      <c r="A254" s="35"/>
      <c r="B254" s="21"/>
      <c r="C254" s="18"/>
      <c r="D254" s="21"/>
      <c r="E254" s="21"/>
      <c r="F254" s="21"/>
      <c r="G254" s="36"/>
      <c r="H254" s="36"/>
      <c r="I254" s="36"/>
      <c r="J254" s="37"/>
      <c r="K254" s="18"/>
      <c r="L254" s="28" t="str">
        <f t="shared" si="33"/>
        <v/>
      </c>
      <c r="M254" s="29" t="str">
        <f t="shared" si="34"/>
        <v/>
      </c>
      <c r="N254" s="29" t="str">
        <f t="shared" si="35"/>
        <v/>
      </c>
      <c r="O254" s="30" t="str">
        <f t="shared" si="36"/>
        <v/>
      </c>
      <c r="P254" s="28" t="str">
        <f>IF($C254="","",IFERROR(INDEX(CA_TG,MATCH(B254,DS_CA,0))-INDEX(CA_NGHI,MATCH(B254,DS_CA,0))-SUMIFS('3 Nhật ký dừng máy'!$I$6:$I$1005,'3 Nhật ký dừng máy'!$A$6:$A$1005,$A254,'3 Nhật ký dừng máy'!$B$6:$B$1005,$B254,'3 Nhật ký dừng máy'!$C$6:$C$1005,$C254,'3 Nhật ký dừng máy'!$K$6:$K$1005,"Có kế hoạch"),"?"))</f>
        <v/>
      </c>
      <c r="Q254" s="28" t="str">
        <f>IF($C254="","",SUMIFS('3 Nhật ký dừng máy'!$I$6:$I$1005,'3 Nhật ký dừng máy'!$A$6:$A$1005,$A254,'3 Nhật ký dừng máy'!$B$6:$B$1005,$B254,'3 Nhật ký dừng máy'!$C$6:$C$1005,$C254,'3 Nhật ký dừng máy'!$K$6:$K$1005,"Ngoài kế hoạch"))</f>
        <v/>
      </c>
      <c r="R254" s="30" t="str">
        <f>IF($C254="","",COUNTIFS('3 Nhật ký dừng máy'!$A$6:$A$1005,$A254,'3 Nhật ký dừng máy'!$B$6:$B$1005,$B254,'3 Nhật ký dừng máy'!$C$6:$C$1005,$C254,'3 Nhật ký dừng máy'!$K$6:$K$1005,"Ngoài kế hoạch"))</f>
        <v/>
      </c>
      <c r="S254" s="31" t="str">
        <f t="shared" si="37"/>
        <v/>
      </c>
      <c r="T254" s="31" t="str">
        <f t="shared" si="38"/>
        <v/>
      </c>
      <c r="U254" s="31" t="str">
        <f t="shared" si="39"/>
        <v/>
      </c>
      <c r="V254" s="32" t="str">
        <f t="shared" si="40"/>
        <v/>
      </c>
      <c r="W254" s="30" t="str">
        <f t="shared" si="41"/>
        <v/>
      </c>
      <c r="X254" s="33" t="str">
        <f t="shared" si="42"/>
        <v/>
      </c>
      <c r="Y254" s="34" t="str">
        <f t="shared" si="43"/>
        <v/>
      </c>
    </row>
    <row r="255" spans="1:25" x14ac:dyDescent="0.2">
      <c r="A255" s="35"/>
      <c r="B255" s="21"/>
      <c r="C255" s="18"/>
      <c r="D255" s="21"/>
      <c r="E255" s="21"/>
      <c r="F255" s="21"/>
      <c r="G255" s="36"/>
      <c r="H255" s="36"/>
      <c r="I255" s="36"/>
      <c r="J255" s="37"/>
      <c r="K255" s="18"/>
      <c r="L255" s="28" t="str">
        <f t="shared" si="33"/>
        <v/>
      </c>
      <c r="M255" s="29" t="str">
        <f t="shared" si="34"/>
        <v/>
      </c>
      <c r="N255" s="29" t="str">
        <f t="shared" si="35"/>
        <v/>
      </c>
      <c r="O255" s="30" t="str">
        <f t="shared" si="36"/>
        <v/>
      </c>
      <c r="P255" s="28" t="str">
        <f>IF($C255="","",IFERROR(INDEX(CA_TG,MATCH(B255,DS_CA,0))-INDEX(CA_NGHI,MATCH(B255,DS_CA,0))-SUMIFS('3 Nhật ký dừng máy'!$I$6:$I$1005,'3 Nhật ký dừng máy'!$A$6:$A$1005,$A255,'3 Nhật ký dừng máy'!$B$6:$B$1005,$B255,'3 Nhật ký dừng máy'!$C$6:$C$1005,$C255,'3 Nhật ký dừng máy'!$K$6:$K$1005,"Có kế hoạch"),"?"))</f>
        <v/>
      </c>
      <c r="Q255" s="28" t="str">
        <f>IF($C255="","",SUMIFS('3 Nhật ký dừng máy'!$I$6:$I$1005,'3 Nhật ký dừng máy'!$A$6:$A$1005,$A255,'3 Nhật ký dừng máy'!$B$6:$B$1005,$B255,'3 Nhật ký dừng máy'!$C$6:$C$1005,$C255,'3 Nhật ký dừng máy'!$K$6:$K$1005,"Ngoài kế hoạch"))</f>
        <v/>
      </c>
      <c r="R255" s="30" t="str">
        <f>IF($C255="","",COUNTIFS('3 Nhật ký dừng máy'!$A$6:$A$1005,$A255,'3 Nhật ký dừng máy'!$B$6:$B$1005,$B255,'3 Nhật ký dừng máy'!$C$6:$C$1005,$C255,'3 Nhật ký dừng máy'!$K$6:$K$1005,"Ngoài kế hoạch"))</f>
        <v/>
      </c>
      <c r="S255" s="31" t="str">
        <f t="shared" si="37"/>
        <v/>
      </c>
      <c r="T255" s="31" t="str">
        <f t="shared" si="38"/>
        <v/>
      </c>
      <c r="U255" s="31" t="str">
        <f t="shared" si="39"/>
        <v/>
      </c>
      <c r="V255" s="32" t="str">
        <f t="shared" si="40"/>
        <v/>
      </c>
      <c r="W255" s="30" t="str">
        <f t="shared" si="41"/>
        <v/>
      </c>
      <c r="X255" s="33" t="str">
        <f t="shared" si="42"/>
        <v/>
      </c>
      <c r="Y255" s="34" t="str">
        <f t="shared" si="43"/>
        <v/>
      </c>
    </row>
    <row r="256" spans="1:25" x14ac:dyDescent="0.2">
      <c r="A256" s="35"/>
      <c r="B256" s="21"/>
      <c r="C256" s="18"/>
      <c r="D256" s="21"/>
      <c r="E256" s="21"/>
      <c r="F256" s="21"/>
      <c r="G256" s="36"/>
      <c r="H256" s="36"/>
      <c r="I256" s="36"/>
      <c r="J256" s="37"/>
      <c r="K256" s="18"/>
      <c r="L256" s="28" t="str">
        <f t="shared" si="33"/>
        <v/>
      </c>
      <c r="M256" s="29" t="str">
        <f t="shared" si="34"/>
        <v/>
      </c>
      <c r="N256" s="29" t="str">
        <f t="shared" si="35"/>
        <v/>
      </c>
      <c r="O256" s="30" t="str">
        <f t="shared" si="36"/>
        <v/>
      </c>
      <c r="P256" s="28" t="str">
        <f>IF($C256="","",IFERROR(INDEX(CA_TG,MATCH(B256,DS_CA,0))-INDEX(CA_NGHI,MATCH(B256,DS_CA,0))-SUMIFS('3 Nhật ký dừng máy'!$I$6:$I$1005,'3 Nhật ký dừng máy'!$A$6:$A$1005,$A256,'3 Nhật ký dừng máy'!$B$6:$B$1005,$B256,'3 Nhật ký dừng máy'!$C$6:$C$1005,$C256,'3 Nhật ký dừng máy'!$K$6:$K$1005,"Có kế hoạch"),"?"))</f>
        <v/>
      </c>
      <c r="Q256" s="28" t="str">
        <f>IF($C256="","",SUMIFS('3 Nhật ký dừng máy'!$I$6:$I$1005,'3 Nhật ký dừng máy'!$A$6:$A$1005,$A256,'3 Nhật ký dừng máy'!$B$6:$B$1005,$B256,'3 Nhật ký dừng máy'!$C$6:$C$1005,$C256,'3 Nhật ký dừng máy'!$K$6:$K$1005,"Ngoài kế hoạch"))</f>
        <v/>
      </c>
      <c r="R256" s="30" t="str">
        <f>IF($C256="","",COUNTIFS('3 Nhật ký dừng máy'!$A$6:$A$1005,$A256,'3 Nhật ký dừng máy'!$B$6:$B$1005,$B256,'3 Nhật ký dừng máy'!$C$6:$C$1005,$C256,'3 Nhật ký dừng máy'!$K$6:$K$1005,"Ngoài kế hoạch"))</f>
        <v/>
      </c>
      <c r="S256" s="31" t="str">
        <f t="shared" si="37"/>
        <v/>
      </c>
      <c r="T256" s="31" t="str">
        <f t="shared" si="38"/>
        <v/>
      </c>
      <c r="U256" s="31" t="str">
        <f t="shared" si="39"/>
        <v/>
      </c>
      <c r="V256" s="32" t="str">
        <f t="shared" si="40"/>
        <v/>
      </c>
      <c r="W256" s="30" t="str">
        <f t="shared" si="41"/>
        <v/>
      </c>
      <c r="X256" s="33" t="str">
        <f t="shared" si="42"/>
        <v/>
      </c>
      <c r="Y256" s="34" t="str">
        <f t="shared" si="43"/>
        <v/>
      </c>
    </row>
    <row r="257" spans="1:25" x14ac:dyDescent="0.2">
      <c r="A257" s="35"/>
      <c r="B257" s="21"/>
      <c r="C257" s="18"/>
      <c r="D257" s="21"/>
      <c r="E257" s="21"/>
      <c r="F257" s="21"/>
      <c r="G257" s="36"/>
      <c r="H257" s="36"/>
      <c r="I257" s="36"/>
      <c r="J257" s="37"/>
      <c r="K257" s="18"/>
      <c r="L257" s="28" t="str">
        <f t="shared" si="33"/>
        <v/>
      </c>
      <c r="M257" s="29" t="str">
        <f t="shared" si="34"/>
        <v/>
      </c>
      <c r="N257" s="29" t="str">
        <f t="shared" si="35"/>
        <v/>
      </c>
      <c r="O257" s="30" t="str">
        <f t="shared" si="36"/>
        <v/>
      </c>
      <c r="P257" s="28" t="str">
        <f>IF($C257="","",IFERROR(INDEX(CA_TG,MATCH(B257,DS_CA,0))-INDEX(CA_NGHI,MATCH(B257,DS_CA,0))-SUMIFS('3 Nhật ký dừng máy'!$I$6:$I$1005,'3 Nhật ký dừng máy'!$A$6:$A$1005,$A257,'3 Nhật ký dừng máy'!$B$6:$B$1005,$B257,'3 Nhật ký dừng máy'!$C$6:$C$1005,$C257,'3 Nhật ký dừng máy'!$K$6:$K$1005,"Có kế hoạch"),"?"))</f>
        <v/>
      </c>
      <c r="Q257" s="28" t="str">
        <f>IF($C257="","",SUMIFS('3 Nhật ký dừng máy'!$I$6:$I$1005,'3 Nhật ký dừng máy'!$A$6:$A$1005,$A257,'3 Nhật ký dừng máy'!$B$6:$B$1005,$B257,'3 Nhật ký dừng máy'!$C$6:$C$1005,$C257,'3 Nhật ký dừng máy'!$K$6:$K$1005,"Ngoài kế hoạch"))</f>
        <v/>
      </c>
      <c r="R257" s="30" t="str">
        <f>IF($C257="","",COUNTIFS('3 Nhật ký dừng máy'!$A$6:$A$1005,$A257,'3 Nhật ký dừng máy'!$B$6:$B$1005,$B257,'3 Nhật ký dừng máy'!$C$6:$C$1005,$C257,'3 Nhật ký dừng máy'!$K$6:$K$1005,"Ngoài kế hoạch"))</f>
        <v/>
      </c>
      <c r="S257" s="31" t="str">
        <f t="shared" si="37"/>
        <v/>
      </c>
      <c r="T257" s="31" t="str">
        <f t="shared" si="38"/>
        <v/>
      </c>
      <c r="U257" s="31" t="str">
        <f t="shared" si="39"/>
        <v/>
      </c>
      <c r="V257" s="32" t="str">
        <f t="shared" si="40"/>
        <v/>
      </c>
      <c r="W257" s="30" t="str">
        <f t="shared" si="41"/>
        <v/>
      </c>
      <c r="X257" s="33" t="str">
        <f t="shared" si="42"/>
        <v/>
      </c>
      <c r="Y257" s="34" t="str">
        <f t="shared" si="43"/>
        <v/>
      </c>
    </row>
    <row r="258" spans="1:25" x14ac:dyDescent="0.2">
      <c r="A258" s="35"/>
      <c r="B258" s="21"/>
      <c r="C258" s="18"/>
      <c r="D258" s="21"/>
      <c r="E258" s="21"/>
      <c r="F258" s="21"/>
      <c r="G258" s="36"/>
      <c r="H258" s="36"/>
      <c r="I258" s="36"/>
      <c r="J258" s="37"/>
      <c r="K258" s="18"/>
      <c r="L258" s="28" t="str">
        <f t="shared" si="33"/>
        <v/>
      </c>
      <c r="M258" s="29" t="str">
        <f t="shared" si="34"/>
        <v/>
      </c>
      <c r="N258" s="29" t="str">
        <f t="shared" si="35"/>
        <v/>
      </c>
      <c r="O258" s="30" t="str">
        <f t="shared" si="36"/>
        <v/>
      </c>
      <c r="P258" s="28" t="str">
        <f>IF($C258="","",IFERROR(INDEX(CA_TG,MATCH(B258,DS_CA,0))-INDEX(CA_NGHI,MATCH(B258,DS_CA,0))-SUMIFS('3 Nhật ký dừng máy'!$I$6:$I$1005,'3 Nhật ký dừng máy'!$A$6:$A$1005,$A258,'3 Nhật ký dừng máy'!$B$6:$B$1005,$B258,'3 Nhật ký dừng máy'!$C$6:$C$1005,$C258,'3 Nhật ký dừng máy'!$K$6:$K$1005,"Có kế hoạch"),"?"))</f>
        <v/>
      </c>
      <c r="Q258" s="28" t="str">
        <f>IF($C258="","",SUMIFS('3 Nhật ký dừng máy'!$I$6:$I$1005,'3 Nhật ký dừng máy'!$A$6:$A$1005,$A258,'3 Nhật ký dừng máy'!$B$6:$B$1005,$B258,'3 Nhật ký dừng máy'!$C$6:$C$1005,$C258,'3 Nhật ký dừng máy'!$K$6:$K$1005,"Ngoài kế hoạch"))</f>
        <v/>
      </c>
      <c r="R258" s="30" t="str">
        <f>IF($C258="","",COUNTIFS('3 Nhật ký dừng máy'!$A$6:$A$1005,$A258,'3 Nhật ký dừng máy'!$B$6:$B$1005,$B258,'3 Nhật ký dừng máy'!$C$6:$C$1005,$C258,'3 Nhật ký dừng máy'!$K$6:$K$1005,"Ngoài kế hoạch"))</f>
        <v/>
      </c>
      <c r="S258" s="31" t="str">
        <f t="shared" si="37"/>
        <v/>
      </c>
      <c r="T258" s="31" t="str">
        <f t="shared" si="38"/>
        <v/>
      </c>
      <c r="U258" s="31" t="str">
        <f t="shared" si="39"/>
        <v/>
      </c>
      <c r="V258" s="32" t="str">
        <f t="shared" si="40"/>
        <v/>
      </c>
      <c r="W258" s="30" t="str">
        <f t="shared" si="41"/>
        <v/>
      </c>
      <c r="X258" s="33" t="str">
        <f t="shared" si="42"/>
        <v/>
      </c>
      <c r="Y258" s="34" t="str">
        <f t="shared" si="43"/>
        <v/>
      </c>
    </row>
    <row r="259" spans="1:25" x14ac:dyDescent="0.2">
      <c r="A259" s="35"/>
      <c r="B259" s="21"/>
      <c r="C259" s="18"/>
      <c r="D259" s="21"/>
      <c r="E259" s="21"/>
      <c r="F259" s="21"/>
      <c r="G259" s="36"/>
      <c r="H259" s="36"/>
      <c r="I259" s="36"/>
      <c r="J259" s="37"/>
      <c r="K259" s="18"/>
      <c r="L259" s="28" t="str">
        <f t="shared" si="33"/>
        <v/>
      </c>
      <c r="M259" s="29" t="str">
        <f t="shared" si="34"/>
        <v/>
      </c>
      <c r="N259" s="29" t="str">
        <f t="shared" si="35"/>
        <v/>
      </c>
      <c r="O259" s="30" t="str">
        <f t="shared" si="36"/>
        <v/>
      </c>
      <c r="P259" s="28" t="str">
        <f>IF($C259="","",IFERROR(INDEX(CA_TG,MATCH(B259,DS_CA,0))-INDEX(CA_NGHI,MATCH(B259,DS_CA,0))-SUMIFS('3 Nhật ký dừng máy'!$I$6:$I$1005,'3 Nhật ký dừng máy'!$A$6:$A$1005,$A259,'3 Nhật ký dừng máy'!$B$6:$B$1005,$B259,'3 Nhật ký dừng máy'!$C$6:$C$1005,$C259,'3 Nhật ký dừng máy'!$K$6:$K$1005,"Có kế hoạch"),"?"))</f>
        <v/>
      </c>
      <c r="Q259" s="28" t="str">
        <f>IF($C259="","",SUMIFS('3 Nhật ký dừng máy'!$I$6:$I$1005,'3 Nhật ký dừng máy'!$A$6:$A$1005,$A259,'3 Nhật ký dừng máy'!$B$6:$B$1005,$B259,'3 Nhật ký dừng máy'!$C$6:$C$1005,$C259,'3 Nhật ký dừng máy'!$K$6:$K$1005,"Ngoài kế hoạch"))</f>
        <v/>
      </c>
      <c r="R259" s="30" t="str">
        <f>IF($C259="","",COUNTIFS('3 Nhật ký dừng máy'!$A$6:$A$1005,$A259,'3 Nhật ký dừng máy'!$B$6:$B$1005,$B259,'3 Nhật ký dừng máy'!$C$6:$C$1005,$C259,'3 Nhật ký dừng máy'!$K$6:$K$1005,"Ngoài kế hoạch"))</f>
        <v/>
      </c>
      <c r="S259" s="31" t="str">
        <f t="shared" si="37"/>
        <v/>
      </c>
      <c r="T259" s="31" t="str">
        <f t="shared" si="38"/>
        <v/>
      </c>
      <c r="U259" s="31" t="str">
        <f t="shared" si="39"/>
        <v/>
      </c>
      <c r="V259" s="32" t="str">
        <f t="shared" si="40"/>
        <v/>
      </c>
      <c r="W259" s="30" t="str">
        <f t="shared" si="41"/>
        <v/>
      </c>
      <c r="X259" s="33" t="str">
        <f t="shared" si="42"/>
        <v/>
      </c>
      <c r="Y259" s="34" t="str">
        <f t="shared" si="43"/>
        <v/>
      </c>
    </row>
    <row r="260" spans="1:25" x14ac:dyDescent="0.2">
      <c r="A260" s="35"/>
      <c r="B260" s="21"/>
      <c r="C260" s="18"/>
      <c r="D260" s="21"/>
      <c r="E260" s="21"/>
      <c r="F260" s="21"/>
      <c r="G260" s="36"/>
      <c r="H260" s="36"/>
      <c r="I260" s="36"/>
      <c r="J260" s="37"/>
      <c r="K260" s="18"/>
      <c r="L260" s="28" t="str">
        <f t="shared" si="33"/>
        <v/>
      </c>
      <c r="M260" s="29" t="str">
        <f t="shared" si="34"/>
        <v/>
      </c>
      <c r="N260" s="29" t="str">
        <f t="shared" si="35"/>
        <v/>
      </c>
      <c r="O260" s="30" t="str">
        <f t="shared" si="36"/>
        <v/>
      </c>
      <c r="P260" s="28" t="str">
        <f>IF($C260="","",IFERROR(INDEX(CA_TG,MATCH(B260,DS_CA,0))-INDEX(CA_NGHI,MATCH(B260,DS_CA,0))-SUMIFS('3 Nhật ký dừng máy'!$I$6:$I$1005,'3 Nhật ký dừng máy'!$A$6:$A$1005,$A260,'3 Nhật ký dừng máy'!$B$6:$B$1005,$B260,'3 Nhật ký dừng máy'!$C$6:$C$1005,$C260,'3 Nhật ký dừng máy'!$K$6:$K$1005,"Có kế hoạch"),"?"))</f>
        <v/>
      </c>
      <c r="Q260" s="28" t="str">
        <f>IF($C260="","",SUMIFS('3 Nhật ký dừng máy'!$I$6:$I$1005,'3 Nhật ký dừng máy'!$A$6:$A$1005,$A260,'3 Nhật ký dừng máy'!$B$6:$B$1005,$B260,'3 Nhật ký dừng máy'!$C$6:$C$1005,$C260,'3 Nhật ký dừng máy'!$K$6:$K$1005,"Ngoài kế hoạch"))</f>
        <v/>
      </c>
      <c r="R260" s="30" t="str">
        <f>IF($C260="","",COUNTIFS('3 Nhật ký dừng máy'!$A$6:$A$1005,$A260,'3 Nhật ký dừng máy'!$B$6:$B$1005,$B260,'3 Nhật ký dừng máy'!$C$6:$C$1005,$C260,'3 Nhật ký dừng máy'!$K$6:$K$1005,"Ngoài kế hoạch"))</f>
        <v/>
      </c>
      <c r="S260" s="31" t="str">
        <f t="shared" si="37"/>
        <v/>
      </c>
      <c r="T260" s="31" t="str">
        <f t="shared" si="38"/>
        <v/>
      </c>
      <c r="U260" s="31" t="str">
        <f t="shared" si="39"/>
        <v/>
      </c>
      <c r="V260" s="32" t="str">
        <f t="shared" si="40"/>
        <v/>
      </c>
      <c r="W260" s="30" t="str">
        <f t="shared" si="41"/>
        <v/>
      </c>
      <c r="X260" s="33" t="str">
        <f t="shared" si="42"/>
        <v/>
      </c>
      <c r="Y260" s="34" t="str">
        <f t="shared" si="43"/>
        <v/>
      </c>
    </row>
    <row r="261" spans="1:25" x14ac:dyDescent="0.2">
      <c r="A261" s="35"/>
      <c r="B261" s="21"/>
      <c r="C261" s="18"/>
      <c r="D261" s="21"/>
      <c r="E261" s="21"/>
      <c r="F261" s="21"/>
      <c r="G261" s="36"/>
      <c r="H261" s="36"/>
      <c r="I261" s="36"/>
      <c r="J261" s="37"/>
      <c r="K261" s="18"/>
      <c r="L261" s="28" t="str">
        <f t="shared" si="33"/>
        <v/>
      </c>
      <c r="M261" s="29" t="str">
        <f t="shared" si="34"/>
        <v/>
      </c>
      <c r="N261" s="29" t="str">
        <f t="shared" si="35"/>
        <v/>
      </c>
      <c r="O261" s="30" t="str">
        <f t="shared" si="36"/>
        <v/>
      </c>
      <c r="P261" s="28" t="str">
        <f>IF($C261="","",IFERROR(INDEX(CA_TG,MATCH(B261,DS_CA,0))-INDEX(CA_NGHI,MATCH(B261,DS_CA,0))-SUMIFS('3 Nhật ký dừng máy'!$I$6:$I$1005,'3 Nhật ký dừng máy'!$A$6:$A$1005,$A261,'3 Nhật ký dừng máy'!$B$6:$B$1005,$B261,'3 Nhật ký dừng máy'!$C$6:$C$1005,$C261,'3 Nhật ký dừng máy'!$K$6:$K$1005,"Có kế hoạch"),"?"))</f>
        <v/>
      </c>
      <c r="Q261" s="28" t="str">
        <f>IF($C261="","",SUMIFS('3 Nhật ký dừng máy'!$I$6:$I$1005,'3 Nhật ký dừng máy'!$A$6:$A$1005,$A261,'3 Nhật ký dừng máy'!$B$6:$B$1005,$B261,'3 Nhật ký dừng máy'!$C$6:$C$1005,$C261,'3 Nhật ký dừng máy'!$K$6:$K$1005,"Ngoài kế hoạch"))</f>
        <v/>
      </c>
      <c r="R261" s="30" t="str">
        <f>IF($C261="","",COUNTIFS('3 Nhật ký dừng máy'!$A$6:$A$1005,$A261,'3 Nhật ký dừng máy'!$B$6:$B$1005,$B261,'3 Nhật ký dừng máy'!$C$6:$C$1005,$C261,'3 Nhật ký dừng máy'!$K$6:$K$1005,"Ngoài kế hoạch"))</f>
        <v/>
      </c>
      <c r="S261" s="31" t="str">
        <f t="shared" si="37"/>
        <v/>
      </c>
      <c r="T261" s="31" t="str">
        <f t="shared" si="38"/>
        <v/>
      </c>
      <c r="U261" s="31" t="str">
        <f t="shared" si="39"/>
        <v/>
      </c>
      <c r="V261" s="32" t="str">
        <f t="shared" si="40"/>
        <v/>
      </c>
      <c r="W261" s="30" t="str">
        <f t="shared" si="41"/>
        <v/>
      </c>
      <c r="X261" s="33" t="str">
        <f t="shared" si="42"/>
        <v/>
      </c>
      <c r="Y261" s="34" t="str">
        <f t="shared" si="43"/>
        <v/>
      </c>
    </row>
    <row r="262" spans="1:25" x14ac:dyDescent="0.2">
      <c r="A262" s="35"/>
      <c r="B262" s="21"/>
      <c r="C262" s="18"/>
      <c r="D262" s="21"/>
      <c r="E262" s="21"/>
      <c r="F262" s="21"/>
      <c r="G262" s="36"/>
      <c r="H262" s="36"/>
      <c r="I262" s="36"/>
      <c r="J262" s="37"/>
      <c r="K262" s="18"/>
      <c r="L262" s="28" t="str">
        <f t="shared" ref="L262:L325" si="44">IF($C262="","",H262-I262)</f>
        <v/>
      </c>
      <c r="M262" s="29" t="str">
        <f t="shared" ref="M262:M325" si="45">IF(OR($C262="",N(G262)&lt;=0),"",L262/G262)</f>
        <v/>
      </c>
      <c r="N262" s="29" t="str">
        <f t="shared" ref="N262:N325" si="46">IF(OR($C262="",N(H262)&lt;=0),"",I262/H262)</f>
        <v/>
      </c>
      <c r="O262" s="30" t="str">
        <f t="shared" ref="O262:O325" si="47">IF($C262="","",IFERROR(INDEX(MH_CT,MATCH(E262,DS_MH,0)),"?"))</f>
        <v/>
      </c>
      <c r="P262" s="28" t="str">
        <f>IF($C262="","",IFERROR(INDEX(CA_TG,MATCH(B262,DS_CA,0))-INDEX(CA_NGHI,MATCH(B262,DS_CA,0))-SUMIFS('3 Nhật ký dừng máy'!$I$6:$I$1005,'3 Nhật ký dừng máy'!$A$6:$A$1005,$A262,'3 Nhật ký dừng máy'!$B$6:$B$1005,$B262,'3 Nhật ký dừng máy'!$C$6:$C$1005,$C262,'3 Nhật ký dừng máy'!$K$6:$K$1005,"Có kế hoạch"),"?"))</f>
        <v/>
      </c>
      <c r="Q262" s="28" t="str">
        <f>IF($C262="","",SUMIFS('3 Nhật ký dừng máy'!$I$6:$I$1005,'3 Nhật ký dừng máy'!$A$6:$A$1005,$A262,'3 Nhật ký dừng máy'!$B$6:$B$1005,$B262,'3 Nhật ký dừng máy'!$C$6:$C$1005,$C262,'3 Nhật ký dừng máy'!$K$6:$K$1005,"Ngoài kế hoạch"))</f>
        <v/>
      </c>
      <c r="R262" s="30" t="str">
        <f>IF($C262="","",COUNTIFS('3 Nhật ký dừng máy'!$A$6:$A$1005,$A262,'3 Nhật ký dừng máy'!$B$6:$B$1005,$B262,'3 Nhật ký dừng máy'!$C$6:$C$1005,$C262,'3 Nhật ký dừng máy'!$K$6:$K$1005,"Ngoài kế hoạch"))</f>
        <v/>
      </c>
      <c r="S262" s="31" t="str">
        <f t="shared" ref="S262:S325" si="48">IF($C262="","",IFERROR(H262*O262/60,"?"))</f>
        <v/>
      </c>
      <c r="T262" s="31" t="str">
        <f t="shared" ref="T262:T325" si="49">IF($C262="","",IFERROR(P262-Q262-S262,"?"))</f>
        <v/>
      </c>
      <c r="U262" s="31" t="str">
        <f t="shared" ref="U262:U325" si="50">IF($C262="","",IFERROR(L262*O262/60,"?"))</f>
        <v/>
      </c>
      <c r="V262" s="32" t="str">
        <f t="shared" ref="V262:V325" si="51">IF($C262="","",IFERROR(U262/P262,"?"))</f>
        <v/>
      </c>
      <c r="W262" s="30" t="str">
        <f t="shared" ref="W262:W325" si="52">IF(OR($C262="",J262=""),"",INT(J262)-A262)</f>
        <v/>
      </c>
      <c r="X262" s="33" t="str">
        <f t="shared" ref="X262:X325" si="53">IF($C262="","",IFERROR(LEFT(IF(N(T262)&lt;0,"Nhanh hơn chu kỳ chuẩn — chuẩn đặt rộng?; ","")&amp;IF(D262="","Thiếu người đứng máy; ","")&amp;IF(R262=0,"Không ghi lần dừng nào; ","")&amp;IF(COUNTIF($Y$6:$Y$505,Y262)&gt;1,"Trùng dòng máy × ca; ",""),LEN(IF(N(T262)&lt;0,"Nhanh hơn chu kỳ chuẩn — chuẩn đặt rộng?; ","")&amp;IF(D262="","Thiếu người đứng máy; ","")&amp;IF(R262=0,"Không ghi lần dừng nào; ","")&amp;IF(COUNTIF($Y$6:$Y$505,Y262)&gt;1,"Trùng dòng máy × ca; ",""))-2),""))</f>
        <v/>
      </c>
      <c r="Y262" s="34" t="str">
        <f t="shared" ref="Y262:Y325" si="54">IF($C262="","",A262&amp;"|"&amp;B262&amp;"|"&amp;C262)</f>
        <v/>
      </c>
    </row>
    <row r="263" spans="1:25" x14ac:dyDescent="0.2">
      <c r="A263" s="35"/>
      <c r="B263" s="21"/>
      <c r="C263" s="18"/>
      <c r="D263" s="21"/>
      <c r="E263" s="21"/>
      <c r="F263" s="21"/>
      <c r="G263" s="36"/>
      <c r="H263" s="36"/>
      <c r="I263" s="36"/>
      <c r="J263" s="37"/>
      <c r="K263" s="18"/>
      <c r="L263" s="28" t="str">
        <f t="shared" si="44"/>
        <v/>
      </c>
      <c r="M263" s="29" t="str">
        <f t="shared" si="45"/>
        <v/>
      </c>
      <c r="N263" s="29" t="str">
        <f t="shared" si="46"/>
        <v/>
      </c>
      <c r="O263" s="30" t="str">
        <f t="shared" si="47"/>
        <v/>
      </c>
      <c r="P263" s="28" t="str">
        <f>IF($C263="","",IFERROR(INDEX(CA_TG,MATCH(B263,DS_CA,0))-INDEX(CA_NGHI,MATCH(B263,DS_CA,0))-SUMIFS('3 Nhật ký dừng máy'!$I$6:$I$1005,'3 Nhật ký dừng máy'!$A$6:$A$1005,$A263,'3 Nhật ký dừng máy'!$B$6:$B$1005,$B263,'3 Nhật ký dừng máy'!$C$6:$C$1005,$C263,'3 Nhật ký dừng máy'!$K$6:$K$1005,"Có kế hoạch"),"?"))</f>
        <v/>
      </c>
      <c r="Q263" s="28" t="str">
        <f>IF($C263="","",SUMIFS('3 Nhật ký dừng máy'!$I$6:$I$1005,'3 Nhật ký dừng máy'!$A$6:$A$1005,$A263,'3 Nhật ký dừng máy'!$B$6:$B$1005,$B263,'3 Nhật ký dừng máy'!$C$6:$C$1005,$C263,'3 Nhật ký dừng máy'!$K$6:$K$1005,"Ngoài kế hoạch"))</f>
        <v/>
      </c>
      <c r="R263" s="30" t="str">
        <f>IF($C263="","",COUNTIFS('3 Nhật ký dừng máy'!$A$6:$A$1005,$A263,'3 Nhật ký dừng máy'!$B$6:$B$1005,$B263,'3 Nhật ký dừng máy'!$C$6:$C$1005,$C263,'3 Nhật ký dừng máy'!$K$6:$K$1005,"Ngoài kế hoạch"))</f>
        <v/>
      </c>
      <c r="S263" s="31" t="str">
        <f t="shared" si="48"/>
        <v/>
      </c>
      <c r="T263" s="31" t="str">
        <f t="shared" si="49"/>
        <v/>
      </c>
      <c r="U263" s="31" t="str">
        <f t="shared" si="50"/>
        <v/>
      </c>
      <c r="V263" s="32" t="str">
        <f t="shared" si="51"/>
        <v/>
      </c>
      <c r="W263" s="30" t="str">
        <f t="shared" si="52"/>
        <v/>
      </c>
      <c r="X263" s="33" t="str">
        <f t="shared" si="53"/>
        <v/>
      </c>
      <c r="Y263" s="34" t="str">
        <f t="shared" si="54"/>
        <v/>
      </c>
    </row>
    <row r="264" spans="1:25" x14ac:dyDescent="0.2">
      <c r="A264" s="35"/>
      <c r="B264" s="21"/>
      <c r="C264" s="18"/>
      <c r="D264" s="21"/>
      <c r="E264" s="21"/>
      <c r="F264" s="21"/>
      <c r="G264" s="36"/>
      <c r="H264" s="36"/>
      <c r="I264" s="36"/>
      <c r="J264" s="37"/>
      <c r="K264" s="18"/>
      <c r="L264" s="28" t="str">
        <f t="shared" si="44"/>
        <v/>
      </c>
      <c r="M264" s="29" t="str">
        <f t="shared" si="45"/>
        <v/>
      </c>
      <c r="N264" s="29" t="str">
        <f t="shared" si="46"/>
        <v/>
      </c>
      <c r="O264" s="30" t="str">
        <f t="shared" si="47"/>
        <v/>
      </c>
      <c r="P264" s="28" t="str">
        <f>IF($C264="","",IFERROR(INDEX(CA_TG,MATCH(B264,DS_CA,0))-INDEX(CA_NGHI,MATCH(B264,DS_CA,0))-SUMIFS('3 Nhật ký dừng máy'!$I$6:$I$1005,'3 Nhật ký dừng máy'!$A$6:$A$1005,$A264,'3 Nhật ký dừng máy'!$B$6:$B$1005,$B264,'3 Nhật ký dừng máy'!$C$6:$C$1005,$C264,'3 Nhật ký dừng máy'!$K$6:$K$1005,"Có kế hoạch"),"?"))</f>
        <v/>
      </c>
      <c r="Q264" s="28" t="str">
        <f>IF($C264="","",SUMIFS('3 Nhật ký dừng máy'!$I$6:$I$1005,'3 Nhật ký dừng máy'!$A$6:$A$1005,$A264,'3 Nhật ký dừng máy'!$B$6:$B$1005,$B264,'3 Nhật ký dừng máy'!$C$6:$C$1005,$C264,'3 Nhật ký dừng máy'!$K$6:$K$1005,"Ngoài kế hoạch"))</f>
        <v/>
      </c>
      <c r="R264" s="30" t="str">
        <f>IF($C264="","",COUNTIFS('3 Nhật ký dừng máy'!$A$6:$A$1005,$A264,'3 Nhật ký dừng máy'!$B$6:$B$1005,$B264,'3 Nhật ký dừng máy'!$C$6:$C$1005,$C264,'3 Nhật ký dừng máy'!$K$6:$K$1005,"Ngoài kế hoạch"))</f>
        <v/>
      </c>
      <c r="S264" s="31" t="str">
        <f t="shared" si="48"/>
        <v/>
      </c>
      <c r="T264" s="31" t="str">
        <f t="shared" si="49"/>
        <v/>
      </c>
      <c r="U264" s="31" t="str">
        <f t="shared" si="50"/>
        <v/>
      </c>
      <c r="V264" s="32" t="str">
        <f t="shared" si="51"/>
        <v/>
      </c>
      <c r="W264" s="30" t="str">
        <f t="shared" si="52"/>
        <v/>
      </c>
      <c r="X264" s="33" t="str">
        <f t="shared" si="53"/>
        <v/>
      </c>
      <c r="Y264" s="34" t="str">
        <f t="shared" si="54"/>
        <v/>
      </c>
    </row>
    <row r="265" spans="1:25" x14ac:dyDescent="0.2">
      <c r="A265" s="35"/>
      <c r="B265" s="21"/>
      <c r="C265" s="18"/>
      <c r="D265" s="21"/>
      <c r="E265" s="21"/>
      <c r="F265" s="21"/>
      <c r="G265" s="36"/>
      <c r="H265" s="36"/>
      <c r="I265" s="36"/>
      <c r="J265" s="37"/>
      <c r="K265" s="18"/>
      <c r="L265" s="28" t="str">
        <f t="shared" si="44"/>
        <v/>
      </c>
      <c r="M265" s="29" t="str">
        <f t="shared" si="45"/>
        <v/>
      </c>
      <c r="N265" s="29" t="str">
        <f t="shared" si="46"/>
        <v/>
      </c>
      <c r="O265" s="30" t="str">
        <f t="shared" si="47"/>
        <v/>
      </c>
      <c r="P265" s="28" t="str">
        <f>IF($C265="","",IFERROR(INDEX(CA_TG,MATCH(B265,DS_CA,0))-INDEX(CA_NGHI,MATCH(B265,DS_CA,0))-SUMIFS('3 Nhật ký dừng máy'!$I$6:$I$1005,'3 Nhật ký dừng máy'!$A$6:$A$1005,$A265,'3 Nhật ký dừng máy'!$B$6:$B$1005,$B265,'3 Nhật ký dừng máy'!$C$6:$C$1005,$C265,'3 Nhật ký dừng máy'!$K$6:$K$1005,"Có kế hoạch"),"?"))</f>
        <v/>
      </c>
      <c r="Q265" s="28" t="str">
        <f>IF($C265="","",SUMIFS('3 Nhật ký dừng máy'!$I$6:$I$1005,'3 Nhật ký dừng máy'!$A$6:$A$1005,$A265,'3 Nhật ký dừng máy'!$B$6:$B$1005,$B265,'3 Nhật ký dừng máy'!$C$6:$C$1005,$C265,'3 Nhật ký dừng máy'!$K$6:$K$1005,"Ngoài kế hoạch"))</f>
        <v/>
      </c>
      <c r="R265" s="30" t="str">
        <f>IF($C265="","",COUNTIFS('3 Nhật ký dừng máy'!$A$6:$A$1005,$A265,'3 Nhật ký dừng máy'!$B$6:$B$1005,$B265,'3 Nhật ký dừng máy'!$C$6:$C$1005,$C265,'3 Nhật ký dừng máy'!$K$6:$K$1005,"Ngoài kế hoạch"))</f>
        <v/>
      </c>
      <c r="S265" s="31" t="str">
        <f t="shared" si="48"/>
        <v/>
      </c>
      <c r="T265" s="31" t="str">
        <f t="shared" si="49"/>
        <v/>
      </c>
      <c r="U265" s="31" t="str">
        <f t="shared" si="50"/>
        <v/>
      </c>
      <c r="V265" s="32" t="str">
        <f t="shared" si="51"/>
        <v/>
      </c>
      <c r="W265" s="30" t="str">
        <f t="shared" si="52"/>
        <v/>
      </c>
      <c r="X265" s="33" t="str">
        <f t="shared" si="53"/>
        <v/>
      </c>
      <c r="Y265" s="34" t="str">
        <f t="shared" si="54"/>
        <v/>
      </c>
    </row>
    <row r="266" spans="1:25" x14ac:dyDescent="0.2">
      <c r="A266" s="35"/>
      <c r="B266" s="21"/>
      <c r="C266" s="18"/>
      <c r="D266" s="21"/>
      <c r="E266" s="21"/>
      <c r="F266" s="21"/>
      <c r="G266" s="36"/>
      <c r="H266" s="36"/>
      <c r="I266" s="36"/>
      <c r="J266" s="37"/>
      <c r="K266" s="18"/>
      <c r="L266" s="28" t="str">
        <f t="shared" si="44"/>
        <v/>
      </c>
      <c r="M266" s="29" t="str">
        <f t="shared" si="45"/>
        <v/>
      </c>
      <c r="N266" s="29" t="str">
        <f t="shared" si="46"/>
        <v/>
      </c>
      <c r="O266" s="30" t="str">
        <f t="shared" si="47"/>
        <v/>
      </c>
      <c r="P266" s="28" t="str">
        <f>IF($C266="","",IFERROR(INDEX(CA_TG,MATCH(B266,DS_CA,0))-INDEX(CA_NGHI,MATCH(B266,DS_CA,0))-SUMIFS('3 Nhật ký dừng máy'!$I$6:$I$1005,'3 Nhật ký dừng máy'!$A$6:$A$1005,$A266,'3 Nhật ký dừng máy'!$B$6:$B$1005,$B266,'3 Nhật ký dừng máy'!$C$6:$C$1005,$C266,'3 Nhật ký dừng máy'!$K$6:$K$1005,"Có kế hoạch"),"?"))</f>
        <v/>
      </c>
      <c r="Q266" s="28" t="str">
        <f>IF($C266="","",SUMIFS('3 Nhật ký dừng máy'!$I$6:$I$1005,'3 Nhật ký dừng máy'!$A$6:$A$1005,$A266,'3 Nhật ký dừng máy'!$B$6:$B$1005,$B266,'3 Nhật ký dừng máy'!$C$6:$C$1005,$C266,'3 Nhật ký dừng máy'!$K$6:$K$1005,"Ngoài kế hoạch"))</f>
        <v/>
      </c>
      <c r="R266" s="30" t="str">
        <f>IF($C266="","",COUNTIFS('3 Nhật ký dừng máy'!$A$6:$A$1005,$A266,'3 Nhật ký dừng máy'!$B$6:$B$1005,$B266,'3 Nhật ký dừng máy'!$C$6:$C$1005,$C266,'3 Nhật ký dừng máy'!$K$6:$K$1005,"Ngoài kế hoạch"))</f>
        <v/>
      </c>
      <c r="S266" s="31" t="str">
        <f t="shared" si="48"/>
        <v/>
      </c>
      <c r="T266" s="31" t="str">
        <f t="shared" si="49"/>
        <v/>
      </c>
      <c r="U266" s="31" t="str">
        <f t="shared" si="50"/>
        <v/>
      </c>
      <c r="V266" s="32" t="str">
        <f t="shared" si="51"/>
        <v/>
      </c>
      <c r="W266" s="30" t="str">
        <f t="shared" si="52"/>
        <v/>
      </c>
      <c r="X266" s="33" t="str">
        <f t="shared" si="53"/>
        <v/>
      </c>
      <c r="Y266" s="34" t="str">
        <f t="shared" si="54"/>
        <v/>
      </c>
    </row>
    <row r="267" spans="1:25" x14ac:dyDescent="0.2">
      <c r="A267" s="35"/>
      <c r="B267" s="21"/>
      <c r="C267" s="18"/>
      <c r="D267" s="21"/>
      <c r="E267" s="21"/>
      <c r="F267" s="21"/>
      <c r="G267" s="36"/>
      <c r="H267" s="36"/>
      <c r="I267" s="36"/>
      <c r="J267" s="37"/>
      <c r="K267" s="18"/>
      <c r="L267" s="28" t="str">
        <f t="shared" si="44"/>
        <v/>
      </c>
      <c r="M267" s="29" t="str">
        <f t="shared" si="45"/>
        <v/>
      </c>
      <c r="N267" s="29" t="str">
        <f t="shared" si="46"/>
        <v/>
      </c>
      <c r="O267" s="30" t="str">
        <f t="shared" si="47"/>
        <v/>
      </c>
      <c r="P267" s="28" t="str">
        <f>IF($C267="","",IFERROR(INDEX(CA_TG,MATCH(B267,DS_CA,0))-INDEX(CA_NGHI,MATCH(B267,DS_CA,0))-SUMIFS('3 Nhật ký dừng máy'!$I$6:$I$1005,'3 Nhật ký dừng máy'!$A$6:$A$1005,$A267,'3 Nhật ký dừng máy'!$B$6:$B$1005,$B267,'3 Nhật ký dừng máy'!$C$6:$C$1005,$C267,'3 Nhật ký dừng máy'!$K$6:$K$1005,"Có kế hoạch"),"?"))</f>
        <v/>
      </c>
      <c r="Q267" s="28" t="str">
        <f>IF($C267="","",SUMIFS('3 Nhật ký dừng máy'!$I$6:$I$1005,'3 Nhật ký dừng máy'!$A$6:$A$1005,$A267,'3 Nhật ký dừng máy'!$B$6:$B$1005,$B267,'3 Nhật ký dừng máy'!$C$6:$C$1005,$C267,'3 Nhật ký dừng máy'!$K$6:$K$1005,"Ngoài kế hoạch"))</f>
        <v/>
      </c>
      <c r="R267" s="30" t="str">
        <f>IF($C267="","",COUNTIFS('3 Nhật ký dừng máy'!$A$6:$A$1005,$A267,'3 Nhật ký dừng máy'!$B$6:$B$1005,$B267,'3 Nhật ký dừng máy'!$C$6:$C$1005,$C267,'3 Nhật ký dừng máy'!$K$6:$K$1005,"Ngoài kế hoạch"))</f>
        <v/>
      </c>
      <c r="S267" s="31" t="str">
        <f t="shared" si="48"/>
        <v/>
      </c>
      <c r="T267" s="31" t="str">
        <f t="shared" si="49"/>
        <v/>
      </c>
      <c r="U267" s="31" t="str">
        <f t="shared" si="50"/>
        <v/>
      </c>
      <c r="V267" s="32" t="str">
        <f t="shared" si="51"/>
        <v/>
      </c>
      <c r="W267" s="30" t="str">
        <f t="shared" si="52"/>
        <v/>
      </c>
      <c r="X267" s="33" t="str">
        <f t="shared" si="53"/>
        <v/>
      </c>
      <c r="Y267" s="34" t="str">
        <f t="shared" si="54"/>
        <v/>
      </c>
    </row>
    <row r="268" spans="1:25" x14ac:dyDescent="0.2">
      <c r="A268" s="35"/>
      <c r="B268" s="21"/>
      <c r="C268" s="18"/>
      <c r="D268" s="21"/>
      <c r="E268" s="21"/>
      <c r="F268" s="21"/>
      <c r="G268" s="36"/>
      <c r="H268" s="36"/>
      <c r="I268" s="36"/>
      <c r="J268" s="37"/>
      <c r="K268" s="18"/>
      <c r="L268" s="28" t="str">
        <f t="shared" si="44"/>
        <v/>
      </c>
      <c r="M268" s="29" t="str">
        <f t="shared" si="45"/>
        <v/>
      </c>
      <c r="N268" s="29" t="str">
        <f t="shared" si="46"/>
        <v/>
      </c>
      <c r="O268" s="30" t="str">
        <f t="shared" si="47"/>
        <v/>
      </c>
      <c r="P268" s="28" t="str">
        <f>IF($C268="","",IFERROR(INDEX(CA_TG,MATCH(B268,DS_CA,0))-INDEX(CA_NGHI,MATCH(B268,DS_CA,0))-SUMIFS('3 Nhật ký dừng máy'!$I$6:$I$1005,'3 Nhật ký dừng máy'!$A$6:$A$1005,$A268,'3 Nhật ký dừng máy'!$B$6:$B$1005,$B268,'3 Nhật ký dừng máy'!$C$6:$C$1005,$C268,'3 Nhật ký dừng máy'!$K$6:$K$1005,"Có kế hoạch"),"?"))</f>
        <v/>
      </c>
      <c r="Q268" s="28" t="str">
        <f>IF($C268="","",SUMIFS('3 Nhật ký dừng máy'!$I$6:$I$1005,'3 Nhật ký dừng máy'!$A$6:$A$1005,$A268,'3 Nhật ký dừng máy'!$B$6:$B$1005,$B268,'3 Nhật ký dừng máy'!$C$6:$C$1005,$C268,'3 Nhật ký dừng máy'!$K$6:$K$1005,"Ngoài kế hoạch"))</f>
        <v/>
      </c>
      <c r="R268" s="30" t="str">
        <f>IF($C268="","",COUNTIFS('3 Nhật ký dừng máy'!$A$6:$A$1005,$A268,'3 Nhật ký dừng máy'!$B$6:$B$1005,$B268,'3 Nhật ký dừng máy'!$C$6:$C$1005,$C268,'3 Nhật ký dừng máy'!$K$6:$K$1005,"Ngoài kế hoạch"))</f>
        <v/>
      </c>
      <c r="S268" s="31" t="str">
        <f t="shared" si="48"/>
        <v/>
      </c>
      <c r="T268" s="31" t="str">
        <f t="shared" si="49"/>
        <v/>
      </c>
      <c r="U268" s="31" t="str">
        <f t="shared" si="50"/>
        <v/>
      </c>
      <c r="V268" s="32" t="str">
        <f t="shared" si="51"/>
        <v/>
      </c>
      <c r="W268" s="30" t="str">
        <f t="shared" si="52"/>
        <v/>
      </c>
      <c r="X268" s="33" t="str">
        <f t="shared" si="53"/>
        <v/>
      </c>
      <c r="Y268" s="34" t="str">
        <f t="shared" si="54"/>
        <v/>
      </c>
    </row>
    <row r="269" spans="1:25" x14ac:dyDescent="0.2">
      <c r="A269" s="35"/>
      <c r="B269" s="21"/>
      <c r="C269" s="18"/>
      <c r="D269" s="21"/>
      <c r="E269" s="21"/>
      <c r="F269" s="21"/>
      <c r="G269" s="36"/>
      <c r="H269" s="36"/>
      <c r="I269" s="36"/>
      <c r="J269" s="37"/>
      <c r="K269" s="18"/>
      <c r="L269" s="28" t="str">
        <f t="shared" si="44"/>
        <v/>
      </c>
      <c r="M269" s="29" t="str">
        <f t="shared" si="45"/>
        <v/>
      </c>
      <c r="N269" s="29" t="str">
        <f t="shared" si="46"/>
        <v/>
      </c>
      <c r="O269" s="30" t="str">
        <f t="shared" si="47"/>
        <v/>
      </c>
      <c r="P269" s="28" t="str">
        <f>IF($C269="","",IFERROR(INDEX(CA_TG,MATCH(B269,DS_CA,0))-INDEX(CA_NGHI,MATCH(B269,DS_CA,0))-SUMIFS('3 Nhật ký dừng máy'!$I$6:$I$1005,'3 Nhật ký dừng máy'!$A$6:$A$1005,$A269,'3 Nhật ký dừng máy'!$B$6:$B$1005,$B269,'3 Nhật ký dừng máy'!$C$6:$C$1005,$C269,'3 Nhật ký dừng máy'!$K$6:$K$1005,"Có kế hoạch"),"?"))</f>
        <v/>
      </c>
      <c r="Q269" s="28" t="str">
        <f>IF($C269="","",SUMIFS('3 Nhật ký dừng máy'!$I$6:$I$1005,'3 Nhật ký dừng máy'!$A$6:$A$1005,$A269,'3 Nhật ký dừng máy'!$B$6:$B$1005,$B269,'3 Nhật ký dừng máy'!$C$6:$C$1005,$C269,'3 Nhật ký dừng máy'!$K$6:$K$1005,"Ngoài kế hoạch"))</f>
        <v/>
      </c>
      <c r="R269" s="30" t="str">
        <f>IF($C269="","",COUNTIFS('3 Nhật ký dừng máy'!$A$6:$A$1005,$A269,'3 Nhật ký dừng máy'!$B$6:$B$1005,$B269,'3 Nhật ký dừng máy'!$C$6:$C$1005,$C269,'3 Nhật ký dừng máy'!$K$6:$K$1005,"Ngoài kế hoạch"))</f>
        <v/>
      </c>
      <c r="S269" s="31" t="str">
        <f t="shared" si="48"/>
        <v/>
      </c>
      <c r="T269" s="31" t="str">
        <f t="shared" si="49"/>
        <v/>
      </c>
      <c r="U269" s="31" t="str">
        <f t="shared" si="50"/>
        <v/>
      </c>
      <c r="V269" s="32" t="str">
        <f t="shared" si="51"/>
        <v/>
      </c>
      <c r="W269" s="30" t="str">
        <f t="shared" si="52"/>
        <v/>
      </c>
      <c r="X269" s="33" t="str">
        <f t="shared" si="53"/>
        <v/>
      </c>
      <c r="Y269" s="34" t="str">
        <f t="shared" si="54"/>
        <v/>
      </c>
    </row>
    <row r="270" spans="1:25" x14ac:dyDescent="0.2">
      <c r="A270" s="35"/>
      <c r="B270" s="21"/>
      <c r="C270" s="18"/>
      <c r="D270" s="21"/>
      <c r="E270" s="21"/>
      <c r="F270" s="21"/>
      <c r="G270" s="36"/>
      <c r="H270" s="36"/>
      <c r="I270" s="36"/>
      <c r="J270" s="37"/>
      <c r="K270" s="18"/>
      <c r="L270" s="28" t="str">
        <f t="shared" si="44"/>
        <v/>
      </c>
      <c r="M270" s="29" t="str">
        <f t="shared" si="45"/>
        <v/>
      </c>
      <c r="N270" s="29" t="str">
        <f t="shared" si="46"/>
        <v/>
      </c>
      <c r="O270" s="30" t="str">
        <f t="shared" si="47"/>
        <v/>
      </c>
      <c r="P270" s="28" t="str">
        <f>IF($C270="","",IFERROR(INDEX(CA_TG,MATCH(B270,DS_CA,0))-INDEX(CA_NGHI,MATCH(B270,DS_CA,0))-SUMIFS('3 Nhật ký dừng máy'!$I$6:$I$1005,'3 Nhật ký dừng máy'!$A$6:$A$1005,$A270,'3 Nhật ký dừng máy'!$B$6:$B$1005,$B270,'3 Nhật ký dừng máy'!$C$6:$C$1005,$C270,'3 Nhật ký dừng máy'!$K$6:$K$1005,"Có kế hoạch"),"?"))</f>
        <v/>
      </c>
      <c r="Q270" s="28" t="str">
        <f>IF($C270="","",SUMIFS('3 Nhật ký dừng máy'!$I$6:$I$1005,'3 Nhật ký dừng máy'!$A$6:$A$1005,$A270,'3 Nhật ký dừng máy'!$B$6:$B$1005,$B270,'3 Nhật ký dừng máy'!$C$6:$C$1005,$C270,'3 Nhật ký dừng máy'!$K$6:$K$1005,"Ngoài kế hoạch"))</f>
        <v/>
      </c>
      <c r="R270" s="30" t="str">
        <f>IF($C270="","",COUNTIFS('3 Nhật ký dừng máy'!$A$6:$A$1005,$A270,'3 Nhật ký dừng máy'!$B$6:$B$1005,$B270,'3 Nhật ký dừng máy'!$C$6:$C$1005,$C270,'3 Nhật ký dừng máy'!$K$6:$K$1005,"Ngoài kế hoạch"))</f>
        <v/>
      </c>
      <c r="S270" s="31" t="str">
        <f t="shared" si="48"/>
        <v/>
      </c>
      <c r="T270" s="31" t="str">
        <f t="shared" si="49"/>
        <v/>
      </c>
      <c r="U270" s="31" t="str">
        <f t="shared" si="50"/>
        <v/>
      </c>
      <c r="V270" s="32" t="str">
        <f t="shared" si="51"/>
        <v/>
      </c>
      <c r="W270" s="30" t="str">
        <f t="shared" si="52"/>
        <v/>
      </c>
      <c r="X270" s="33" t="str">
        <f t="shared" si="53"/>
        <v/>
      </c>
      <c r="Y270" s="34" t="str">
        <f t="shared" si="54"/>
        <v/>
      </c>
    </row>
    <row r="271" spans="1:25" x14ac:dyDescent="0.2">
      <c r="A271" s="35"/>
      <c r="B271" s="21"/>
      <c r="C271" s="18"/>
      <c r="D271" s="21"/>
      <c r="E271" s="21"/>
      <c r="F271" s="21"/>
      <c r="G271" s="36"/>
      <c r="H271" s="36"/>
      <c r="I271" s="36"/>
      <c r="J271" s="37"/>
      <c r="K271" s="18"/>
      <c r="L271" s="28" t="str">
        <f t="shared" si="44"/>
        <v/>
      </c>
      <c r="M271" s="29" t="str">
        <f t="shared" si="45"/>
        <v/>
      </c>
      <c r="N271" s="29" t="str">
        <f t="shared" si="46"/>
        <v/>
      </c>
      <c r="O271" s="30" t="str">
        <f t="shared" si="47"/>
        <v/>
      </c>
      <c r="P271" s="28" t="str">
        <f>IF($C271="","",IFERROR(INDEX(CA_TG,MATCH(B271,DS_CA,0))-INDEX(CA_NGHI,MATCH(B271,DS_CA,0))-SUMIFS('3 Nhật ký dừng máy'!$I$6:$I$1005,'3 Nhật ký dừng máy'!$A$6:$A$1005,$A271,'3 Nhật ký dừng máy'!$B$6:$B$1005,$B271,'3 Nhật ký dừng máy'!$C$6:$C$1005,$C271,'3 Nhật ký dừng máy'!$K$6:$K$1005,"Có kế hoạch"),"?"))</f>
        <v/>
      </c>
      <c r="Q271" s="28" t="str">
        <f>IF($C271="","",SUMIFS('3 Nhật ký dừng máy'!$I$6:$I$1005,'3 Nhật ký dừng máy'!$A$6:$A$1005,$A271,'3 Nhật ký dừng máy'!$B$6:$B$1005,$B271,'3 Nhật ký dừng máy'!$C$6:$C$1005,$C271,'3 Nhật ký dừng máy'!$K$6:$K$1005,"Ngoài kế hoạch"))</f>
        <v/>
      </c>
      <c r="R271" s="30" t="str">
        <f>IF($C271="","",COUNTIFS('3 Nhật ký dừng máy'!$A$6:$A$1005,$A271,'3 Nhật ký dừng máy'!$B$6:$B$1005,$B271,'3 Nhật ký dừng máy'!$C$6:$C$1005,$C271,'3 Nhật ký dừng máy'!$K$6:$K$1005,"Ngoài kế hoạch"))</f>
        <v/>
      </c>
      <c r="S271" s="31" t="str">
        <f t="shared" si="48"/>
        <v/>
      </c>
      <c r="T271" s="31" t="str">
        <f t="shared" si="49"/>
        <v/>
      </c>
      <c r="U271" s="31" t="str">
        <f t="shared" si="50"/>
        <v/>
      </c>
      <c r="V271" s="32" t="str">
        <f t="shared" si="51"/>
        <v/>
      </c>
      <c r="W271" s="30" t="str">
        <f t="shared" si="52"/>
        <v/>
      </c>
      <c r="X271" s="33" t="str">
        <f t="shared" si="53"/>
        <v/>
      </c>
      <c r="Y271" s="34" t="str">
        <f t="shared" si="54"/>
        <v/>
      </c>
    </row>
    <row r="272" spans="1:25" x14ac:dyDescent="0.2">
      <c r="A272" s="35"/>
      <c r="B272" s="21"/>
      <c r="C272" s="18"/>
      <c r="D272" s="21"/>
      <c r="E272" s="21"/>
      <c r="F272" s="21"/>
      <c r="G272" s="36"/>
      <c r="H272" s="36"/>
      <c r="I272" s="36"/>
      <c r="J272" s="37"/>
      <c r="K272" s="18"/>
      <c r="L272" s="28" t="str">
        <f t="shared" si="44"/>
        <v/>
      </c>
      <c r="M272" s="29" t="str">
        <f t="shared" si="45"/>
        <v/>
      </c>
      <c r="N272" s="29" t="str">
        <f t="shared" si="46"/>
        <v/>
      </c>
      <c r="O272" s="30" t="str">
        <f t="shared" si="47"/>
        <v/>
      </c>
      <c r="P272" s="28" t="str">
        <f>IF($C272="","",IFERROR(INDEX(CA_TG,MATCH(B272,DS_CA,0))-INDEX(CA_NGHI,MATCH(B272,DS_CA,0))-SUMIFS('3 Nhật ký dừng máy'!$I$6:$I$1005,'3 Nhật ký dừng máy'!$A$6:$A$1005,$A272,'3 Nhật ký dừng máy'!$B$6:$B$1005,$B272,'3 Nhật ký dừng máy'!$C$6:$C$1005,$C272,'3 Nhật ký dừng máy'!$K$6:$K$1005,"Có kế hoạch"),"?"))</f>
        <v/>
      </c>
      <c r="Q272" s="28" t="str">
        <f>IF($C272="","",SUMIFS('3 Nhật ký dừng máy'!$I$6:$I$1005,'3 Nhật ký dừng máy'!$A$6:$A$1005,$A272,'3 Nhật ký dừng máy'!$B$6:$B$1005,$B272,'3 Nhật ký dừng máy'!$C$6:$C$1005,$C272,'3 Nhật ký dừng máy'!$K$6:$K$1005,"Ngoài kế hoạch"))</f>
        <v/>
      </c>
      <c r="R272" s="30" t="str">
        <f>IF($C272="","",COUNTIFS('3 Nhật ký dừng máy'!$A$6:$A$1005,$A272,'3 Nhật ký dừng máy'!$B$6:$B$1005,$B272,'3 Nhật ký dừng máy'!$C$6:$C$1005,$C272,'3 Nhật ký dừng máy'!$K$6:$K$1005,"Ngoài kế hoạch"))</f>
        <v/>
      </c>
      <c r="S272" s="31" t="str">
        <f t="shared" si="48"/>
        <v/>
      </c>
      <c r="T272" s="31" t="str">
        <f t="shared" si="49"/>
        <v/>
      </c>
      <c r="U272" s="31" t="str">
        <f t="shared" si="50"/>
        <v/>
      </c>
      <c r="V272" s="32" t="str">
        <f t="shared" si="51"/>
        <v/>
      </c>
      <c r="W272" s="30" t="str">
        <f t="shared" si="52"/>
        <v/>
      </c>
      <c r="X272" s="33" t="str">
        <f t="shared" si="53"/>
        <v/>
      </c>
      <c r="Y272" s="34" t="str">
        <f t="shared" si="54"/>
        <v/>
      </c>
    </row>
    <row r="273" spans="1:25" x14ac:dyDescent="0.2">
      <c r="A273" s="35"/>
      <c r="B273" s="21"/>
      <c r="C273" s="18"/>
      <c r="D273" s="21"/>
      <c r="E273" s="21"/>
      <c r="F273" s="21"/>
      <c r="G273" s="36"/>
      <c r="H273" s="36"/>
      <c r="I273" s="36"/>
      <c r="J273" s="37"/>
      <c r="K273" s="18"/>
      <c r="L273" s="28" t="str">
        <f t="shared" si="44"/>
        <v/>
      </c>
      <c r="M273" s="29" t="str">
        <f t="shared" si="45"/>
        <v/>
      </c>
      <c r="N273" s="29" t="str">
        <f t="shared" si="46"/>
        <v/>
      </c>
      <c r="O273" s="30" t="str">
        <f t="shared" si="47"/>
        <v/>
      </c>
      <c r="P273" s="28" t="str">
        <f>IF($C273="","",IFERROR(INDEX(CA_TG,MATCH(B273,DS_CA,0))-INDEX(CA_NGHI,MATCH(B273,DS_CA,0))-SUMIFS('3 Nhật ký dừng máy'!$I$6:$I$1005,'3 Nhật ký dừng máy'!$A$6:$A$1005,$A273,'3 Nhật ký dừng máy'!$B$6:$B$1005,$B273,'3 Nhật ký dừng máy'!$C$6:$C$1005,$C273,'3 Nhật ký dừng máy'!$K$6:$K$1005,"Có kế hoạch"),"?"))</f>
        <v/>
      </c>
      <c r="Q273" s="28" t="str">
        <f>IF($C273="","",SUMIFS('3 Nhật ký dừng máy'!$I$6:$I$1005,'3 Nhật ký dừng máy'!$A$6:$A$1005,$A273,'3 Nhật ký dừng máy'!$B$6:$B$1005,$B273,'3 Nhật ký dừng máy'!$C$6:$C$1005,$C273,'3 Nhật ký dừng máy'!$K$6:$K$1005,"Ngoài kế hoạch"))</f>
        <v/>
      </c>
      <c r="R273" s="30" t="str">
        <f>IF($C273="","",COUNTIFS('3 Nhật ký dừng máy'!$A$6:$A$1005,$A273,'3 Nhật ký dừng máy'!$B$6:$B$1005,$B273,'3 Nhật ký dừng máy'!$C$6:$C$1005,$C273,'3 Nhật ký dừng máy'!$K$6:$K$1005,"Ngoài kế hoạch"))</f>
        <v/>
      </c>
      <c r="S273" s="31" t="str">
        <f t="shared" si="48"/>
        <v/>
      </c>
      <c r="T273" s="31" t="str">
        <f t="shared" si="49"/>
        <v/>
      </c>
      <c r="U273" s="31" t="str">
        <f t="shared" si="50"/>
        <v/>
      </c>
      <c r="V273" s="32" t="str">
        <f t="shared" si="51"/>
        <v/>
      </c>
      <c r="W273" s="30" t="str">
        <f t="shared" si="52"/>
        <v/>
      </c>
      <c r="X273" s="33" t="str">
        <f t="shared" si="53"/>
        <v/>
      </c>
      <c r="Y273" s="34" t="str">
        <f t="shared" si="54"/>
        <v/>
      </c>
    </row>
    <row r="274" spans="1:25" x14ac:dyDescent="0.2">
      <c r="A274" s="35"/>
      <c r="B274" s="21"/>
      <c r="C274" s="18"/>
      <c r="D274" s="21"/>
      <c r="E274" s="21"/>
      <c r="F274" s="21"/>
      <c r="G274" s="36"/>
      <c r="H274" s="36"/>
      <c r="I274" s="36"/>
      <c r="J274" s="37"/>
      <c r="K274" s="18"/>
      <c r="L274" s="28" t="str">
        <f t="shared" si="44"/>
        <v/>
      </c>
      <c r="M274" s="29" t="str">
        <f t="shared" si="45"/>
        <v/>
      </c>
      <c r="N274" s="29" t="str">
        <f t="shared" si="46"/>
        <v/>
      </c>
      <c r="O274" s="30" t="str">
        <f t="shared" si="47"/>
        <v/>
      </c>
      <c r="P274" s="28" t="str">
        <f>IF($C274="","",IFERROR(INDEX(CA_TG,MATCH(B274,DS_CA,0))-INDEX(CA_NGHI,MATCH(B274,DS_CA,0))-SUMIFS('3 Nhật ký dừng máy'!$I$6:$I$1005,'3 Nhật ký dừng máy'!$A$6:$A$1005,$A274,'3 Nhật ký dừng máy'!$B$6:$B$1005,$B274,'3 Nhật ký dừng máy'!$C$6:$C$1005,$C274,'3 Nhật ký dừng máy'!$K$6:$K$1005,"Có kế hoạch"),"?"))</f>
        <v/>
      </c>
      <c r="Q274" s="28" t="str">
        <f>IF($C274="","",SUMIFS('3 Nhật ký dừng máy'!$I$6:$I$1005,'3 Nhật ký dừng máy'!$A$6:$A$1005,$A274,'3 Nhật ký dừng máy'!$B$6:$B$1005,$B274,'3 Nhật ký dừng máy'!$C$6:$C$1005,$C274,'3 Nhật ký dừng máy'!$K$6:$K$1005,"Ngoài kế hoạch"))</f>
        <v/>
      </c>
      <c r="R274" s="30" t="str">
        <f>IF($C274="","",COUNTIFS('3 Nhật ký dừng máy'!$A$6:$A$1005,$A274,'3 Nhật ký dừng máy'!$B$6:$B$1005,$B274,'3 Nhật ký dừng máy'!$C$6:$C$1005,$C274,'3 Nhật ký dừng máy'!$K$6:$K$1005,"Ngoài kế hoạch"))</f>
        <v/>
      </c>
      <c r="S274" s="31" t="str">
        <f t="shared" si="48"/>
        <v/>
      </c>
      <c r="T274" s="31" t="str">
        <f t="shared" si="49"/>
        <v/>
      </c>
      <c r="U274" s="31" t="str">
        <f t="shared" si="50"/>
        <v/>
      </c>
      <c r="V274" s="32" t="str">
        <f t="shared" si="51"/>
        <v/>
      </c>
      <c r="W274" s="30" t="str">
        <f t="shared" si="52"/>
        <v/>
      </c>
      <c r="X274" s="33" t="str">
        <f t="shared" si="53"/>
        <v/>
      </c>
      <c r="Y274" s="34" t="str">
        <f t="shared" si="54"/>
        <v/>
      </c>
    </row>
    <row r="275" spans="1:25" x14ac:dyDescent="0.2">
      <c r="A275" s="35"/>
      <c r="B275" s="21"/>
      <c r="C275" s="18"/>
      <c r="D275" s="21"/>
      <c r="E275" s="21"/>
      <c r="F275" s="21"/>
      <c r="G275" s="36"/>
      <c r="H275" s="36"/>
      <c r="I275" s="36"/>
      <c r="J275" s="37"/>
      <c r="K275" s="18"/>
      <c r="L275" s="28" t="str">
        <f t="shared" si="44"/>
        <v/>
      </c>
      <c r="M275" s="29" t="str">
        <f t="shared" si="45"/>
        <v/>
      </c>
      <c r="N275" s="29" t="str">
        <f t="shared" si="46"/>
        <v/>
      </c>
      <c r="O275" s="30" t="str">
        <f t="shared" si="47"/>
        <v/>
      </c>
      <c r="P275" s="28" t="str">
        <f>IF($C275="","",IFERROR(INDEX(CA_TG,MATCH(B275,DS_CA,0))-INDEX(CA_NGHI,MATCH(B275,DS_CA,0))-SUMIFS('3 Nhật ký dừng máy'!$I$6:$I$1005,'3 Nhật ký dừng máy'!$A$6:$A$1005,$A275,'3 Nhật ký dừng máy'!$B$6:$B$1005,$B275,'3 Nhật ký dừng máy'!$C$6:$C$1005,$C275,'3 Nhật ký dừng máy'!$K$6:$K$1005,"Có kế hoạch"),"?"))</f>
        <v/>
      </c>
      <c r="Q275" s="28" t="str">
        <f>IF($C275="","",SUMIFS('3 Nhật ký dừng máy'!$I$6:$I$1005,'3 Nhật ký dừng máy'!$A$6:$A$1005,$A275,'3 Nhật ký dừng máy'!$B$6:$B$1005,$B275,'3 Nhật ký dừng máy'!$C$6:$C$1005,$C275,'3 Nhật ký dừng máy'!$K$6:$K$1005,"Ngoài kế hoạch"))</f>
        <v/>
      </c>
      <c r="R275" s="30" t="str">
        <f>IF($C275="","",COUNTIFS('3 Nhật ký dừng máy'!$A$6:$A$1005,$A275,'3 Nhật ký dừng máy'!$B$6:$B$1005,$B275,'3 Nhật ký dừng máy'!$C$6:$C$1005,$C275,'3 Nhật ký dừng máy'!$K$6:$K$1005,"Ngoài kế hoạch"))</f>
        <v/>
      </c>
      <c r="S275" s="31" t="str">
        <f t="shared" si="48"/>
        <v/>
      </c>
      <c r="T275" s="31" t="str">
        <f t="shared" si="49"/>
        <v/>
      </c>
      <c r="U275" s="31" t="str">
        <f t="shared" si="50"/>
        <v/>
      </c>
      <c r="V275" s="32" t="str">
        <f t="shared" si="51"/>
        <v/>
      </c>
      <c r="W275" s="30" t="str">
        <f t="shared" si="52"/>
        <v/>
      </c>
      <c r="X275" s="33" t="str">
        <f t="shared" si="53"/>
        <v/>
      </c>
      <c r="Y275" s="34" t="str">
        <f t="shared" si="54"/>
        <v/>
      </c>
    </row>
    <row r="276" spans="1:25" x14ac:dyDescent="0.2">
      <c r="A276" s="35"/>
      <c r="B276" s="21"/>
      <c r="C276" s="18"/>
      <c r="D276" s="21"/>
      <c r="E276" s="21"/>
      <c r="F276" s="21"/>
      <c r="G276" s="36"/>
      <c r="H276" s="36"/>
      <c r="I276" s="36"/>
      <c r="J276" s="37"/>
      <c r="K276" s="18"/>
      <c r="L276" s="28" t="str">
        <f t="shared" si="44"/>
        <v/>
      </c>
      <c r="M276" s="29" t="str">
        <f t="shared" si="45"/>
        <v/>
      </c>
      <c r="N276" s="29" t="str">
        <f t="shared" si="46"/>
        <v/>
      </c>
      <c r="O276" s="30" t="str">
        <f t="shared" si="47"/>
        <v/>
      </c>
      <c r="P276" s="28" t="str">
        <f>IF($C276="","",IFERROR(INDEX(CA_TG,MATCH(B276,DS_CA,0))-INDEX(CA_NGHI,MATCH(B276,DS_CA,0))-SUMIFS('3 Nhật ký dừng máy'!$I$6:$I$1005,'3 Nhật ký dừng máy'!$A$6:$A$1005,$A276,'3 Nhật ký dừng máy'!$B$6:$B$1005,$B276,'3 Nhật ký dừng máy'!$C$6:$C$1005,$C276,'3 Nhật ký dừng máy'!$K$6:$K$1005,"Có kế hoạch"),"?"))</f>
        <v/>
      </c>
      <c r="Q276" s="28" t="str">
        <f>IF($C276="","",SUMIFS('3 Nhật ký dừng máy'!$I$6:$I$1005,'3 Nhật ký dừng máy'!$A$6:$A$1005,$A276,'3 Nhật ký dừng máy'!$B$6:$B$1005,$B276,'3 Nhật ký dừng máy'!$C$6:$C$1005,$C276,'3 Nhật ký dừng máy'!$K$6:$K$1005,"Ngoài kế hoạch"))</f>
        <v/>
      </c>
      <c r="R276" s="30" t="str">
        <f>IF($C276="","",COUNTIFS('3 Nhật ký dừng máy'!$A$6:$A$1005,$A276,'3 Nhật ký dừng máy'!$B$6:$B$1005,$B276,'3 Nhật ký dừng máy'!$C$6:$C$1005,$C276,'3 Nhật ký dừng máy'!$K$6:$K$1005,"Ngoài kế hoạch"))</f>
        <v/>
      </c>
      <c r="S276" s="31" t="str">
        <f t="shared" si="48"/>
        <v/>
      </c>
      <c r="T276" s="31" t="str">
        <f t="shared" si="49"/>
        <v/>
      </c>
      <c r="U276" s="31" t="str">
        <f t="shared" si="50"/>
        <v/>
      </c>
      <c r="V276" s="32" t="str">
        <f t="shared" si="51"/>
        <v/>
      </c>
      <c r="W276" s="30" t="str">
        <f t="shared" si="52"/>
        <v/>
      </c>
      <c r="X276" s="33" t="str">
        <f t="shared" si="53"/>
        <v/>
      </c>
      <c r="Y276" s="34" t="str">
        <f t="shared" si="54"/>
        <v/>
      </c>
    </row>
    <row r="277" spans="1:25" x14ac:dyDescent="0.2">
      <c r="A277" s="35"/>
      <c r="B277" s="21"/>
      <c r="C277" s="18"/>
      <c r="D277" s="21"/>
      <c r="E277" s="21"/>
      <c r="F277" s="21"/>
      <c r="G277" s="36"/>
      <c r="H277" s="36"/>
      <c r="I277" s="36"/>
      <c r="J277" s="37"/>
      <c r="K277" s="18"/>
      <c r="L277" s="28" t="str">
        <f t="shared" si="44"/>
        <v/>
      </c>
      <c r="M277" s="29" t="str">
        <f t="shared" si="45"/>
        <v/>
      </c>
      <c r="N277" s="29" t="str">
        <f t="shared" si="46"/>
        <v/>
      </c>
      <c r="O277" s="30" t="str">
        <f t="shared" si="47"/>
        <v/>
      </c>
      <c r="P277" s="28" t="str">
        <f>IF($C277="","",IFERROR(INDEX(CA_TG,MATCH(B277,DS_CA,0))-INDEX(CA_NGHI,MATCH(B277,DS_CA,0))-SUMIFS('3 Nhật ký dừng máy'!$I$6:$I$1005,'3 Nhật ký dừng máy'!$A$6:$A$1005,$A277,'3 Nhật ký dừng máy'!$B$6:$B$1005,$B277,'3 Nhật ký dừng máy'!$C$6:$C$1005,$C277,'3 Nhật ký dừng máy'!$K$6:$K$1005,"Có kế hoạch"),"?"))</f>
        <v/>
      </c>
      <c r="Q277" s="28" t="str">
        <f>IF($C277="","",SUMIFS('3 Nhật ký dừng máy'!$I$6:$I$1005,'3 Nhật ký dừng máy'!$A$6:$A$1005,$A277,'3 Nhật ký dừng máy'!$B$6:$B$1005,$B277,'3 Nhật ký dừng máy'!$C$6:$C$1005,$C277,'3 Nhật ký dừng máy'!$K$6:$K$1005,"Ngoài kế hoạch"))</f>
        <v/>
      </c>
      <c r="R277" s="30" t="str">
        <f>IF($C277="","",COUNTIFS('3 Nhật ký dừng máy'!$A$6:$A$1005,$A277,'3 Nhật ký dừng máy'!$B$6:$B$1005,$B277,'3 Nhật ký dừng máy'!$C$6:$C$1005,$C277,'3 Nhật ký dừng máy'!$K$6:$K$1005,"Ngoài kế hoạch"))</f>
        <v/>
      </c>
      <c r="S277" s="31" t="str">
        <f t="shared" si="48"/>
        <v/>
      </c>
      <c r="T277" s="31" t="str">
        <f t="shared" si="49"/>
        <v/>
      </c>
      <c r="U277" s="31" t="str">
        <f t="shared" si="50"/>
        <v/>
      </c>
      <c r="V277" s="32" t="str">
        <f t="shared" si="51"/>
        <v/>
      </c>
      <c r="W277" s="30" t="str">
        <f t="shared" si="52"/>
        <v/>
      </c>
      <c r="X277" s="33" t="str">
        <f t="shared" si="53"/>
        <v/>
      </c>
      <c r="Y277" s="34" t="str">
        <f t="shared" si="54"/>
        <v/>
      </c>
    </row>
    <row r="278" spans="1:25" x14ac:dyDescent="0.2">
      <c r="A278" s="35"/>
      <c r="B278" s="21"/>
      <c r="C278" s="18"/>
      <c r="D278" s="21"/>
      <c r="E278" s="21"/>
      <c r="F278" s="21"/>
      <c r="G278" s="36"/>
      <c r="H278" s="36"/>
      <c r="I278" s="36"/>
      <c r="J278" s="37"/>
      <c r="K278" s="18"/>
      <c r="L278" s="28" t="str">
        <f t="shared" si="44"/>
        <v/>
      </c>
      <c r="M278" s="29" t="str">
        <f t="shared" si="45"/>
        <v/>
      </c>
      <c r="N278" s="29" t="str">
        <f t="shared" si="46"/>
        <v/>
      </c>
      <c r="O278" s="30" t="str">
        <f t="shared" si="47"/>
        <v/>
      </c>
      <c r="P278" s="28" t="str">
        <f>IF($C278="","",IFERROR(INDEX(CA_TG,MATCH(B278,DS_CA,0))-INDEX(CA_NGHI,MATCH(B278,DS_CA,0))-SUMIFS('3 Nhật ký dừng máy'!$I$6:$I$1005,'3 Nhật ký dừng máy'!$A$6:$A$1005,$A278,'3 Nhật ký dừng máy'!$B$6:$B$1005,$B278,'3 Nhật ký dừng máy'!$C$6:$C$1005,$C278,'3 Nhật ký dừng máy'!$K$6:$K$1005,"Có kế hoạch"),"?"))</f>
        <v/>
      </c>
      <c r="Q278" s="28" t="str">
        <f>IF($C278="","",SUMIFS('3 Nhật ký dừng máy'!$I$6:$I$1005,'3 Nhật ký dừng máy'!$A$6:$A$1005,$A278,'3 Nhật ký dừng máy'!$B$6:$B$1005,$B278,'3 Nhật ký dừng máy'!$C$6:$C$1005,$C278,'3 Nhật ký dừng máy'!$K$6:$K$1005,"Ngoài kế hoạch"))</f>
        <v/>
      </c>
      <c r="R278" s="30" t="str">
        <f>IF($C278="","",COUNTIFS('3 Nhật ký dừng máy'!$A$6:$A$1005,$A278,'3 Nhật ký dừng máy'!$B$6:$B$1005,$B278,'3 Nhật ký dừng máy'!$C$6:$C$1005,$C278,'3 Nhật ký dừng máy'!$K$6:$K$1005,"Ngoài kế hoạch"))</f>
        <v/>
      </c>
      <c r="S278" s="31" t="str">
        <f t="shared" si="48"/>
        <v/>
      </c>
      <c r="T278" s="31" t="str">
        <f t="shared" si="49"/>
        <v/>
      </c>
      <c r="U278" s="31" t="str">
        <f t="shared" si="50"/>
        <v/>
      </c>
      <c r="V278" s="32" t="str">
        <f t="shared" si="51"/>
        <v/>
      </c>
      <c r="W278" s="30" t="str">
        <f t="shared" si="52"/>
        <v/>
      </c>
      <c r="X278" s="33" t="str">
        <f t="shared" si="53"/>
        <v/>
      </c>
      <c r="Y278" s="34" t="str">
        <f t="shared" si="54"/>
        <v/>
      </c>
    </row>
    <row r="279" spans="1:25" x14ac:dyDescent="0.2">
      <c r="A279" s="35"/>
      <c r="B279" s="21"/>
      <c r="C279" s="18"/>
      <c r="D279" s="21"/>
      <c r="E279" s="21"/>
      <c r="F279" s="21"/>
      <c r="G279" s="36"/>
      <c r="H279" s="36"/>
      <c r="I279" s="36"/>
      <c r="J279" s="37"/>
      <c r="K279" s="18"/>
      <c r="L279" s="28" t="str">
        <f t="shared" si="44"/>
        <v/>
      </c>
      <c r="M279" s="29" t="str">
        <f t="shared" si="45"/>
        <v/>
      </c>
      <c r="N279" s="29" t="str">
        <f t="shared" si="46"/>
        <v/>
      </c>
      <c r="O279" s="30" t="str">
        <f t="shared" si="47"/>
        <v/>
      </c>
      <c r="P279" s="28" t="str">
        <f>IF($C279="","",IFERROR(INDEX(CA_TG,MATCH(B279,DS_CA,0))-INDEX(CA_NGHI,MATCH(B279,DS_CA,0))-SUMIFS('3 Nhật ký dừng máy'!$I$6:$I$1005,'3 Nhật ký dừng máy'!$A$6:$A$1005,$A279,'3 Nhật ký dừng máy'!$B$6:$B$1005,$B279,'3 Nhật ký dừng máy'!$C$6:$C$1005,$C279,'3 Nhật ký dừng máy'!$K$6:$K$1005,"Có kế hoạch"),"?"))</f>
        <v/>
      </c>
      <c r="Q279" s="28" t="str">
        <f>IF($C279="","",SUMIFS('3 Nhật ký dừng máy'!$I$6:$I$1005,'3 Nhật ký dừng máy'!$A$6:$A$1005,$A279,'3 Nhật ký dừng máy'!$B$6:$B$1005,$B279,'3 Nhật ký dừng máy'!$C$6:$C$1005,$C279,'3 Nhật ký dừng máy'!$K$6:$K$1005,"Ngoài kế hoạch"))</f>
        <v/>
      </c>
      <c r="R279" s="30" t="str">
        <f>IF($C279="","",COUNTIFS('3 Nhật ký dừng máy'!$A$6:$A$1005,$A279,'3 Nhật ký dừng máy'!$B$6:$B$1005,$B279,'3 Nhật ký dừng máy'!$C$6:$C$1005,$C279,'3 Nhật ký dừng máy'!$K$6:$K$1005,"Ngoài kế hoạch"))</f>
        <v/>
      </c>
      <c r="S279" s="31" t="str">
        <f t="shared" si="48"/>
        <v/>
      </c>
      <c r="T279" s="31" t="str">
        <f t="shared" si="49"/>
        <v/>
      </c>
      <c r="U279" s="31" t="str">
        <f t="shared" si="50"/>
        <v/>
      </c>
      <c r="V279" s="32" t="str">
        <f t="shared" si="51"/>
        <v/>
      </c>
      <c r="W279" s="30" t="str">
        <f t="shared" si="52"/>
        <v/>
      </c>
      <c r="X279" s="33" t="str">
        <f t="shared" si="53"/>
        <v/>
      </c>
      <c r="Y279" s="34" t="str">
        <f t="shared" si="54"/>
        <v/>
      </c>
    </row>
    <row r="280" spans="1:25" x14ac:dyDescent="0.2">
      <c r="A280" s="35"/>
      <c r="B280" s="21"/>
      <c r="C280" s="18"/>
      <c r="D280" s="21"/>
      <c r="E280" s="21"/>
      <c r="F280" s="21"/>
      <c r="G280" s="36"/>
      <c r="H280" s="36"/>
      <c r="I280" s="36"/>
      <c r="J280" s="37"/>
      <c r="K280" s="18"/>
      <c r="L280" s="28" t="str">
        <f t="shared" si="44"/>
        <v/>
      </c>
      <c r="M280" s="29" t="str">
        <f t="shared" si="45"/>
        <v/>
      </c>
      <c r="N280" s="29" t="str">
        <f t="shared" si="46"/>
        <v/>
      </c>
      <c r="O280" s="30" t="str">
        <f t="shared" si="47"/>
        <v/>
      </c>
      <c r="P280" s="28" t="str">
        <f>IF($C280="","",IFERROR(INDEX(CA_TG,MATCH(B280,DS_CA,0))-INDEX(CA_NGHI,MATCH(B280,DS_CA,0))-SUMIFS('3 Nhật ký dừng máy'!$I$6:$I$1005,'3 Nhật ký dừng máy'!$A$6:$A$1005,$A280,'3 Nhật ký dừng máy'!$B$6:$B$1005,$B280,'3 Nhật ký dừng máy'!$C$6:$C$1005,$C280,'3 Nhật ký dừng máy'!$K$6:$K$1005,"Có kế hoạch"),"?"))</f>
        <v/>
      </c>
      <c r="Q280" s="28" t="str">
        <f>IF($C280="","",SUMIFS('3 Nhật ký dừng máy'!$I$6:$I$1005,'3 Nhật ký dừng máy'!$A$6:$A$1005,$A280,'3 Nhật ký dừng máy'!$B$6:$B$1005,$B280,'3 Nhật ký dừng máy'!$C$6:$C$1005,$C280,'3 Nhật ký dừng máy'!$K$6:$K$1005,"Ngoài kế hoạch"))</f>
        <v/>
      </c>
      <c r="R280" s="30" t="str">
        <f>IF($C280="","",COUNTIFS('3 Nhật ký dừng máy'!$A$6:$A$1005,$A280,'3 Nhật ký dừng máy'!$B$6:$B$1005,$B280,'3 Nhật ký dừng máy'!$C$6:$C$1005,$C280,'3 Nhật ký dừng máy'!$K$6:$K$1005,"Ngoài kế hoạch"))</f>
        <v/>
      </c>
      <c r="S280" s="31" t="str">
        <f t="shared" si="48"/>
        <v/>
      </c>
      <c r="T280" s="31" t="str">
        <f t="shared" si="49"/>
        <v/>
      </c>
      <c r="U280" s="31" t="str">
        <f t="shared" si="50"/>
        <v/>
      </c>
      <c r="V280" s="32" t="str">
        <f t="shared" si="51"/>
        <v/>
      </c>
      <c r="W280" s="30" t="str">
        <f t="shared" si="52"/>
        <v/>
      </c>
      <c r="X280" s="33" t="str">
        <f t="shared" si="53"/>
        <v/>
      </c>
      <c r="Y280" s="34" t="str">
        <f t="shared" si="54"/>
        <v/>
      </c>
    </row>
    <row r="281" spans="1:25" x14ac:dyDescent="0.2">
      <c r="A281" s="35"/>
      <c r="B281" s="21"/>
      <c r="C281" s="18"/>
      <c r="D281" s="21"/>
      <c r="E281" s="21"/>
      <c r="F281" s="21"/>
      <c r="G281" s="36"/>
      <c r="H281" s="36"/>
      <c r="I281" s="36"/>
      <c r="J281" s="37"/>
      <c r="K281" s="18"/>
      <c r="L281" s="28" t="str">
        <f t="shared" si="44"/>
        <v/>
      </c>
      <c r="M281" s="29" t="str">
        <f t="shared" si="45"/>
        <v/>
      </c>
      <c r="N281" s="29" t="str">
        <f t="shared" si="46"/>
        <v/>
      </c>
      <c r="O281" s="30" t="str">
        <f t="shared" si="47"/>
        <v/>
      </c>
      <c r="P281" s="28" t="str">
        <f>IF($C281="","",IFERROR(INDEX(CA_TG,MATCH(B281,DS_CA,0))-INDEX(CA_NGHI,MATCH(B281,DS_CA,0))-SUMIFS('3 Nhật ký dừng máy'!$I$6:$I$1005,'3 Nhật ký dừng máy'!$A$6:$A$1005,$A281,'3 Nhật ký dừng máy'!$B$6:$B$1005,$B281,'3 Nhật ký dừng máy'!$C$6:$C$1005,$C281,'3 Nhật ký dừng máy'!$K$6:$K$1005,"Có kế hoạch"),"?"))</f>
        <v/>
      </c>
      <c r="Q281" s="28" t="str">
        <f>IF($C281="","",SUMIFS('3 Nhật ký dừng máy'!$I$6:$I$1005,'3 Nhật ký dừng máy'!$A$6:$A$1005,$A281,'3 Nhật ký dừng máy'!$B$6:$B$1005,$B281,'3 Nhật ký dừng máy'!$C$6:$C$1005,$C281,'3 Nhật ký dừng máy'!$K$6:$K$1005,"Ngoài kế hoạch"))</f>
        <v/>
      </c>
      <c r="R281" s="30" t="str">
        <f>IF($C281="","",COUNTIFS('3 Nhật ký dừng máy'!$A$6:$A$1005,$A281,'3 Nhật ký dừng máy'!$B$6:$B$1005,$B281,'3 Nhật ký dừng máy'!$C$6:$C$1005,$C281,'3 Nhật ký dừng máy'!$K$6:$K$1005,"Ngoài kế hoạch"))</f>
        <v/>
      </c>
      <c r="S281" s="31" t="str">
        <f t="shared" si="48"/>
        <v/>
      </c>
      <c r="T281" s="31" t="str">
        <f t="shared" si="49"/>
        <v/>
      </c>
      <c r="U281" s="31" t="str">
        <f t="shared" si="50"/>
        <v/>
      </c>
      <c r="V281" s="32" t="str">
        <f t="shared" si="51"/>
        <v/>
      </c>
      <c r="W281" s="30" t="str">
        <f t="shared" si="52"/>
        <v/>
      </c>
      <c r="X281" s="33" t="str">
        <f t="shared" si="53"/>
        <v/>
      </c>
      <c r="Y281" s="34" t="str">
        <f t="shared" si="54"/>
        <v/>
      </c>
    </row>
    <row r="282" spans="1:25" x14ac:dyDescent="0.2">
      <c r="A282" s="35"/>
      <c r="B282" s="21"/>
      <c r="C282" s="18"/>
      <c r="D282" s="21"/>
      <c r="E282" s="21"/>
      <c r="F282" s="21"/>
      <c r="G282" s="36"/>
      <c r="H282" s="36"/>
      <c r="I282" s="36"/>
      <c r="J282" s="37"/>
      <c r="K282" s="18"/>
      <c r="L282" s="28" t="str">
        <f t="shared" si="44"/>
        <v/>
      </c>
      <c r="M282" s="29" t="str">
        <f t="shared" si="45"/>
        <v/>
      </c>
      <c r="N282" s="29" t="str">
        <f t="shared" si="46"/>
        <v/>
      </c>
      <c r="O282" s="30" t="str">
        <f t="shared" si="47"/>
        <v/>
      </c>
      <c r="P282" s="28" t="str">
        <f>IF($C282="","",IFERROR(INDEX(CA_TG,MATCH(B282,DS_CA,0))-INDEX(CA_NGHI,MATCH(B282,DS_CA,0))-SUMIFS('3 Nhật ký dừng máy'!$I$6:$I$1005,'3 Nhật ký dừng máy'!$A$6:$A$1005,$A282,'3 Nhật ký dừng máy'!$B$6:$B$1005,$B282,'3 Nhật ký dừng máy'!$C$6:$C$1005,$C282,'3 Nhật ký dừng máy'!$K$6:$K$1005,"Có kế hoạch"),"?"))</f>
        <v/>
      </c>
      <c r="Q282" s="28" t="str">
        <f>IF($C282="","",SUMIFS('3 Nhật ký dừng máy'!$I$6:$I$1005,'3 Nhật ký dừng máy'!$A$6:$A$1005,$A282,'3 Nhật ký dừng máy'!$B$6:$B$1005,$B282,'3 Nhật ký dừng máy'!$C$6:$C$1005,$C282,'3 Nhật ký dừng máy'!$K$6:$K$1005,"Ngoài kế hoạch"))</f>
        <v/>
      </c>
      <c r="R282" s="30" t="str">
        <f>IF($C282="","",COUNTIFS('3 Nhật ký dừng máy'!$A$6:$A$1005,$A282,'3 Nhật ký dừng máy'!$B$6:$B$1005,$B282,'3 Nhật ký dừng máy'!$C$6:$C$1005,$C282,'3 Nhật ký dừng máy'!$K$6:$K$1005,"Ngoài kế hoạch"))</f>
        <v/>
      </c>
      <c r="S282" s="31" t="str">
        <f t="shared" si="48"/>
        <v/>
      </c>
      <c r="T282" s="31" t="str">
        <f t="shared" si="49"/>
        <v/>
      </c>
      <c r="U282" s="31" t="str">
        <f t="shared" si="50"/>
        <v/>
      </c>
      <c r="V282" s="32" t="str">
        <f t="shared" si="51"/>
        <v/>
      </c>
      <c r="W282" s="30" t="str">
        <f t="shared" si="52"/>
        <v/>
      </c>
      <c r="X282" s="33" t="str">
        <f t="shared" si="53"/>
        <v/>
      </c>
      <c r="Y282" s="34" t="str">
        <f t="shared" si="54"/>
        <v/>
      </c>
    </row>
    <row r="283" spans="1:25" x14ac:dyDescent="0.2">
      <c r="A283" s="35"/>
      <c r="B283" s="21"/>
      <c r="C283" s="18"/>
      <c r="D283" s="21"/>
      <c r="E283" s="21"/>
      <c r="F283" s="21"/>
      <c r="G283" s="36"/>
      <c r="H283" s="36"/>
      <c r="I283" s="36"/>
      <c r="J283" s="37"/>
      <c r="K283" s="18"/>
      <c r="L283" s="28" t="str">
        <f t="shared" si="44"/>
        <v/>
      </c>
      <c r="M283" s="29" t="str">
        <f t="shared" si="45"/>
        <v/>
      </c>
      <c r="N283" s="29" t="str">
        <f t="shared" si="46"/>
        <v/>
      </c>
      <c r="O283" s="30" t="str">
        <f t="shared" si="47"/>
        <v/>
      </c>
      <c r="P283" s="28" t="str">
        <f>IF($C283="","",IFERROR(INDEX(CA_TG,MATCH(B283,DS_CA,0))-INDEX(CA_NGHI,MATCH(B283,DS_CA,0))-SUMIFS('3 Nhật ký dừng máy'!$I$6:$I$1005,'3 Nhật ký dừng máy'!$A$6:$A$1005,$A283,'3 Nhật ký dừng máy'!$B$6:$B$1005,$B283,'3 Nhật ký dừng máy'!$C$6:$C$1005,$C283,'3 Nhật ký dừng máy'!$K$6:$K$1005,"Có kế hoạch"),"?"))</f>
        <v/>
      </c>
      <c r="Q283" s="28" t="str">
        <f>IF($C283="","",SUMIFS('3 Nhật ký dừng máy'!$I$6:$I$1005,'3 Nhật ký dừng máy'!$A$6:$A$1005,$A283,'3 Nhật ký dừng máy'!$B$6:$B$1005,$B283,'3 Nhật ký dừng máy'!$C$6:$C$1005,$C283,'3 Nhật ký dừng máy'!$K$6:$K$1005,"Ngoài kế hoạch"))</f>
        <v/>
      </c>
      <c r="R283" s="30" t="str">
        <f>IF($C283="","",COUNTIFS('3 Nhật ký dừng máy'!$A$6:$A$1005,$A283,'3 Nhật ký dừng máy'!$B$6:$B$1005,$B283,'3 Nhật ký dừng máy'!$C$6:$C$1005,$C283,'3 Nhật ký dừng máy'!$K$6:$K$1005,"Ngoài kế hoạch"))</f>
        <v/>
      </c>
      <c r="S283" s="31" t="str">
        <f t="shared" si="48"/>
        <v/>
      </c>
      <c r="T283" s="31" t="str">
        <f t="shared" si="49"/>
        <v/>
      </c>
      <c r="U283" s="31" t="str">
        <f t="shared" si="50"/>
        <v/>
      </c>
      <c r="V283" s="32" t="str">
        <f t="shared" si="51"/>
        <v/>
      </c>
      <c r="W283" s="30" t="str">
        <f t="shared" si="52"/>
        <v/>
      </c>
      <c r="X283" s="33" t="str">
        <f t="shared" si="53"/>
        <v/>
      </c>
      <c r="Y283" s="34" t="str">
        <f t="shared" si="54"/>
        <v/>
      </c>
    </row>
    <row r="284" spans="1:25" x14ac:dyDescent="0.2">
      <c r="A284" s="35"/>
      <c r="B284" s="21"/>
      <c r="C284" s="18"/>
      <c r="D284" s="21"/>
      <c r="E284" s="21"/>
      <c r="F284" s="21"/>
      <c r="G284" s="36"/>
      <c r="H284" s="36"/>
      <c r="I284" s="36"/>
      <c r="J284" s="37"/>
      <c r="K284" s="18"/>
      <c r="L284" s="28" t="str">
        <f t="shared" si="44"/>
        <v/>
      </c>
      <c r="M284" s="29" t="str">
        <f t="shared" si="45"/>
        <v/>
      </c>
      <c r="N284" s="29" t="str">
        <f t="shared" si="46"/>
        <v/>
      </c>
      <c r="O284" s="30" t="str">
        <f t="shared" si="47"/>
        <v/>
      </c>
      <c r="P284" s="28" t="str">
        <f>IF($C284="","",IFERROR(INDEX(CA_TG,MATCH(B284,DS_CA,0))-INDEX(CA_NGHI,MATCH(B284,DS_CA,0))-SUMIFS('3 Nhật ký dừng máy'!$I$6:$I$1005,'3 Nhật ký dừng máy'!$A$6:$A$1005,$A284,'3 Nhật ký dừng máy'!$B$6:$B$1005,$B284,'3 Nhật ký dừng máy'!$C$6:$C$1005,$C284,'3 Nhật ký dừng máy'!$K$6:$K$1005,"Có kế hoạch"),"?"))</f>
        <v/>
      </c>
      <c r="Q284" s="28" t="str">
        <f>IF($C284="","",SUMIFS('3 Nhật ký dừng máy'!$I$6:$I$1005,'3 Nhật ký dừng máy'!$A$6:$A$1005,$A284,'3 Nhật ký dừng máy'!$B$6:$B$1005,$B284,'3 Nhật ký dừng máy'!$C$6:$C$1005,$C284,'3 Nhật ký dừng máy'!$K$6:$K$1005,"Ngoài kế hoạch"))</f>
        <v/>
      </c>
      <c r="R284" s="30" t="str">
        <f>IF($C284="","",COUNTIFS('3 Nhật ký dừng máy'!$A$6:$A$1005,$A284,'3 Nhật ký dừng máy'!$B$6:$B$1005,$B284,'3 Nhật ký dừng máy'!$C$6:$C$1005,$C284,'3 Nhật ký dừng máy'!$K$6:$K$1005,"Ngoài kế hoạch"))</f>
        <v/>
      </c>
      <c r="S284" s="31" t="str">
        <f t="shared" si="48"/>
        <v/>
      </c>
      <c r="T284" s="31" t="str">
        <f t="shared" si="49"/>
        <v/>
      </c>
      <c r="U284" s="31" t="str">
        <f t="shared" si="50"/>
        <v/>
      </c>
      <c r="V284" s="32" t="str">
        <f t="shared" si="51"/>
        <v/>
      </c>
      <c r="W284" s="30" t="str">
        <f t="shared" si="52"/>
        <v/>
      </c>
      <c r="X284" s="33" t="str">
        <f t="shared" si="53"/>
        <v/>
      </c>
      <c r="Y284" s="34" t="str">
        <f t="shared" si="54"/>
        <v/>
      </c>
    </row>
    <row r="285" spans="1:25" x14ac:dyDescent="0.2">
      <c r="A285" s="35"/>
      <c r="B285" s="21"/>
      <c r="C285" s="18"/>
      <c r="D285" s="21"/>
      <c r="E285" s="21"/>
      <c r="F285" s="21"/>
      <c r="G285" s="36"/>
      <c r="H285" s="36"/>
      <c r="I285" s="36"/>
      <c r="J285" s="37"/>
      <c r="K285" s="18"/>
      <c r="L285" s="28" t="str">
        <f t="shared" si="44"/>
        <v/>
      </c>
      <c r="M285" s="29" t="str">
        <f t="shared" si="45"/>
        <v/>
      </c>
      <c r="N285" s="29" t="str">
        <f t="shared" si="46"/>
        <v/>
      </c>
      <c r="O285" s="30" t="str">
        <f t="shared" si="47"/>
        <v/>
      </c>
      <c r="P285" s="28" t="str">
        <f>IF($C285="","",IFERROR(INDEX(CA_TG,MATCH(B285,DS_CA,0))-INDEX(CA_NGHI,MATCH(B285,DS_CA,0))-SUMIFS('3 Nhật ký dừng máy'!$I$6:$I$1005,'3 Nhật ký dừng máy'!$A$6:$A$1005,$A285,'3 Nhật ký dừng máy'!$B$6:$B$1005,$B285,'3 Nhật ký dừng máy'!$C$6:$C$1005,$C285,'3 Nhật ký dừng máy'!$K$6:$K$1005,"Có kế hoạch"),"?"))</f>
        <v/>
      </c>
      <c r="Q285" s="28" t="str">
        <f>IF($C285="","",SUMIFS('3 Nhật ký dừng máy'!$I$6:$I$1005,'3 Nhật ký dừng máy'!$A$6:$A$1005,$A285,'3 Nhật ký dừng máy'!$B$6:$B$1005,$B285,'3 Nhật ký dừng máy'!$C$6:$C$1005,$C285,'3 Nhật ký dừng máy'!$K$6:$K$1005,"Ngoài kế hoạch"))</f>
        <v/>
      </c>
      <c r="R285" s="30" t="str">
        <f>IF($C285="","",COUNTIFS('3 Nhật ký dừng máy'!$A$6:$A$1005,$A285,'3 Nhật ký dừng máy'!$B$6:$B$1005,$B285,'3 Nhật ký dừng máy'!$C$6:$C$1005,$C285,'3 Nhật ký dừng máy'!$K$6:$K$1005,"Ngoài kế hoạch"))</f>
        <v/>
      </c>
      <c r="S285" s="31" t="str">
        <f t="shared" si="48"/>
        <v/>
      </c>
      <c r="T285" s="31" t="str">
        <f t="shared" si="49"/>
        <v/>
      </c>
      <c r="U285" s="31" t="str">
        <f t="shared" si="50"/>
        <v/>
      </c>
      <c r="V285" s="32" t="str">
        <f t="shared" si="51"/>
        <v/>
      </c>
      <c r="W285" s="30" t="str">
        <f t="shared" si="52"/>
        <v/>
      </c>
      <c r="X285" s="33" t="str">
        <f t="shared" si="53"/>
        <v/>
      </c>
      <c r="Y285" s="34" t="str">
        <f t="shared" si="54"/>
        <v/>
      </c>
    </row>
    <row r="286" spans="1:25" x14ac:dyDescent="0.2">
      <c r="A286" s="35"/>
      <c r="B286" s="21"/>
      <c r="C286" s="18"/>
      <c r="D286" s="21"/>
      <c r="E286" s="21"/>
      <c r="F286" s="21"/>
      <c r="G286" s="36"/>
      <c r="H286" s="36"/>
      <c r="I286" s="36"/>
      <c r="J286" s="37"/>
      <c r="K286" s="18"/>
      <c r="L286" s="28" t="str">
        <f t="shared" si="44"/>
        <v/>
      </c>
      <c r="M286" s="29" t="str">
        <f t="shared" si="45"/>
        <v/>
      </c>
      <c r="N286" s="29" t="str">
        <f t="shared" si="46"/>
        <v/>
      </c>
      <c r="O286" s="30" t="str">
        <f t="shared" si="47"/>
        <v/>
      </c>
      <c r="P286" s="28" t="str">
        <f>IF($C286="","",IFERROR(INDEX(CA_TG,MATCH(B286,DS_CA,0))-INDEX(CA_NGHI,MATCH(B286,DS_CA,0))-SUMIFS('3 Nhật ký dừng máy'!$I$6:$I$1005,'3 Nhật ký dừng máy'!$A$6:$A$1005,$A286,'3 Nhật ký dừng máy'!$B$6:$B$1005,$B286,'3 Nhật ký dừng máy'!$C$6:$C$1005,$C286,'3 Nhật ký dừng máy'!$K$6:$K$1005,"Có kế hoạch"),"?"))</f>
        <v/>
      </c>
      <c r="Q286" s="28" t="str">
        <f>IF($C286="","",SUMIFS('3 Nhật ký dừng máy'!$I$6:$I$1005,'3 Nhật ký dừng máy'!$A$6:$A$1005,$A286,'3 Nhật ký dừng máy'!$B$6:$B$1005,$B286,'3 Nhật ký dừng máy'!$C$6:$C$1005,$C286,'3 Nhật ký dừng máy'!$K$6:$K$1005,"Ngoài kế hoạch"))</f>
        <v/>
      </c>
      <c r="R286" s="30" t="str">
        <f>IF($C286="","",COUNTIFS('3 Nhật ký dừng máy'!$A$6:$A$1005,$A286,'3 Nhật ký dừng máy'!$B$6:$B$1005,$B286,'3 Nhật ký dừng máy'!$C$6:$C$1005,$C286,'3 Nhật ký dừng máy'!$K$6:$K$1005,"Ngoài kế hoạch"))</f>
        <v/>
      </c>
      <c r="S286" s="31" t="str">
        <f t="shared" si="48"/>
        <v/>
      </c>
      <c r="T286" s="31" t="str">
        <f t="shared" si="49"/>
        <v/>
      </c>
      <c r="U286" s="31" t="str">
        <f t="shared" si="50"/>
        <v/>
      </c>
      <c r="V286" s="32" t="str">
        <f t="shared" si="51"/>
        <v/>
      </c>
      <c r="W286" s="30" t="str">
        <f t="shared" si="52"/>
        <v/>
      </c>
      <c r="X286" s="33" t="str">
        <f t="shared" si="53"/>
        <v/>
      </c>
      <c r="Y286" s="34" t="str">
        <f t="shared" si="54"/>
        <v/>
      </c>
    </row>
    <row r="287" spans="1:25" x14ac:dyDescent="0.2">
      <c r="A287" s="35"/>
      <c r="B287" s="21"/>
      <c r="C287" s="18"/>
      <c r="D287" s="21"/>
      <c r="E287" s="21"/>
      <c r="F287" s="21"/>
      <c r="G287" s="36"/>
      <c r="H287" s="36"/>
      <c r="I287" s="36"/>
      <c r="J287" s="37"/>
      <c r="K287" s="18"/>
      <c r="L287" s="28" t="str">
        <f t="shared" si="44"/>
        <v/>
      </c>
      <c r="M287" s="29" t="str">
        <f t="shared" si="45"/>
        <v/>
      </c>
      <c r="N287" s="29" t="str">
        <f t="shared" si="46"/>
        <v/>
      </c>
      <c r="O287" s="30" t="str">
        <f t="shared" si="47"/>
        <v/>
      </c>
      <c r="P287" s="28" t="str">
        <f>IF($C287="","",IFERROR(INDEX(CA_TG,MATCH(B287,DS_CA,0))-INDEX(CA_NGHI,MATCH(B287,DS_CA,0))-SUMIFS('3 Nhật ký dừng máy'!$I$6:$I$1005,'3 Nhật ký dừng máy'!$A$6:$A$1005,$A287,'3 Nhật ký dừng máy'!$B$6:$B$1005,$B287,'3 Nhật ký dừng máy'!$C$6:$C$1005,$C287,'3 Nhật ký dừng máy'!$K$6:$K$1005,"Có kế hoạch"),"?"))</f>
        <v/>
      </c>
      <c r="Q287" s="28" t="str">
        <f>IF($C287="","",SUMIFS('3 Nhật ký dừng máy'!$I$6:$I$1005,'3 Nhật ký dừng máy'!$A$6:$A$1005,$A287,'3 Nhật ký dừng máy'!$B$6:$B$1005,$B287,'3 Nhật ký dừng máy'!$C$6:$C$1005,$C287,'3 Nhật ký dừng máy'!$K$6:$K$1005,"Ngoài kế hoạch"))</f>
        <v/>
      </c>
      <c r="R287" s="30" t="str">
        <f>IF($C287="","",COUNTIFS('3 Nhật ký dừng máy'!$A$6:$A$1005,$A287,'3 Nhật ký dừng máy'!$B$6:$B$1005,$B287,'3 Nhật ký dừng máy'!$C$6:$C$1005,$C287,'3 Nhật ký dừng máy'!$K$6:$K$1005,"Ngoài kế hoạch"))</f>
        <v/>
      </c>
      <c r="S287" s="31" t="str">
        <f t="shared" si="48"/>
        <v/>
      </c>
      <c r="T287" s="31" t="str">
        <f t="shared" si="49"/>
        <v/>
      </c>
      <c r="U287" s="31" t="str">
        <f t="shared" si="50"/>
        <v/>
      </c>
      <c r="V287" s="32" t="str">
        <f t="shared" si="51"/>
        <v/>
      </c>
      <c r="W287" s="30" t="str">
        <f t="shared" si="52"/>
        <v/>
      </c>
      <c r="X287" s="33" t="str">
        <f t="shared" si="53"/>
        <v/>
      </c>
      <c r="Y287" s="34" t="str">
        <f t="shared" si="54"/>
        <v/>
      </c>
    </row>
    <row r="288" spans="1:25" x14ac:dyDescent="0.2">
      <c r="A288" s="35"/>
      <c r="B288" s="21"/>
      <c r="C288" s="18"/>
      <c r="D288" s="21"/>
      <c r="E288" s="21"/>
      <c r="F288" s="21"/>
      <c r="G288" s="36"/>
      <c r="H288" s="36"/>
      <c r="I288" s="36"/>
      <c r="J288" s="37"/>
      <c r="K288" s="18"/>
      <c r="L288" s="28" t="str">
        <f t="shared" si="44"/>
        <v/>
      </c>
      <c r="M288" s="29" t="str">
        <f t="shared" si="45"/>
        <v/>
      </c>
      <c r="N288" s="29" t="str">
        <f t="shared" si="46"/>
        <v/>
      </c>
      <c r="O288" s="30" t="str">
        <f t="shared" si="47"/>
        <v/>
      </c>
      <c r="P288" s="28" t="str">
        <f>IF($C288="","",IFERROR(INDEX(CA_TG,MATCH(B288,DS_CA,0))-INDEX(CA_NGHI,MATCH(B288,DS_CA,0))-SUMIFS('3 Nhật ký dừng máy'!$I$6:$I$1005,'3 Nhật ký dừng máy'!$A$6:$A$1005,$A288,'3 Nhật ký dừng máy'!$B$6:$B$1005,$B288,'3 Nhật ký dừng máy'!$C$6:$C$1005,$C288,'3 Nhật ký dừng máy'!$K$6:$K$1005,"Có kế hoạch"),"?"))</f>
        <v/>
      </c>
      <c r="Q288" s="28" t="str">
        <f>IF($C288="","",SUMIFS('3 Nhật ký dừng máy'!$I$6:$I$1005,'3 Nhật ký dừng máy'!$A$6:$A$1005,$A288,'3 Nhật ký dừng máy'!$B$6:$B$1005,$B288,'3 Nhật ký dừng máy'!$C$6:$C$1005,$C288,'3 Nhật ký dừng máy'!$K$6:$K$1005,"Ngoài kế hoạch"))</f>
        <v/>
      </c>
      <c r="R288" s="30" t="str">
        <f>IF($C288="","",COUNTIFS('3 Nhật ký dừng máy'!$A$6:$A$1005,$A288,'3 Nhật ký dừng máy'!$B$6:$B$1005,$B288,'3 Nhật ký dừng máy'!$C$6:$C$1005,$C288,'3 Nhật ký dừng máy'!$K$6:$K$1005,"Ngoài kế hoạch"))</f>
        <v/>
      </c>
      <c r="S288" s="31" t="str">
        <f t="shared" si="48"/>
        <v/>
      </c>
      <c r="T288" s="31" t="str">
        <f t="shared" si="49"/>
        <v/>
      </c>
      <c r="U288" s="31" t="str">
        <f t="shared" si="50"/>
        <v/>
      </c>
      <c r="V288" s="32" t="str">
        <f t="shared" si="51"/>
        <v/>
      </c>
      <c r="W288" s="30" t="str">
        <f t="shared" si="52"/>
        <v/>
      </c>
      <c r="X288" s="33" t="str">
        <f t="shared" si="53"/>
        <v/>
      </c>
      <c r="Y288" s="34" t="str">
        <f t="shared" si="54"/>
        <v/>
      </c>
    </row>
    <row r="289" spans="1:25" x14ac:dyDescent="0.2">
      <c r="A289" s="35"/>
      <c r="B289" s="21"/>
      <c r="C289" s="18"/>
      <c r="D289" s="21"/>
      <c r="E289" s="21"/>
      <c r="F289" s="21"/>
      <c r="G289" s="36"/>
      <c r="H289" s="36"/>
      <c r="I289" s="36"/>
      <c r="J289" s="37"/>
      <c r="K289" s="18"/>
      <c r="L289" s="28" t="str">
        <f t="shared" si="44"/>
        <v/>
      </c>
      <c r="M289" s="29" t="str">
        <f t="shared" si="45"/>
        <v/>
      </c>
      <c r="N289" s="29" t="str">
        <f t="shared" si="46"/>
        <v/>
      </c>
      <c r="O289" s="30" t="str">
        <f t="shared" si="47"/>
        <v/>
      </c>
      <c r="P289" s="28" t="str">
        <f>IF($C289="","",IFERROR(INDEX(CA_TG,MATCH(B289,DS_CA,0))-INDEX(CA_NGHI,MATCH(B289,DS_CA,0))-SUMIFS('3 Nhật ký dừng máy'!$I$6:$I$1005,'3 Nhật ký dừng máy'!$A$6:$A$1005,$A289,'3 Nhật ký dừng máy'!$B$6:$B$1005,$B289,'3 Nhật ký dừng máy'!$C$6:$C$1005,$C289,'3 Nhật ký dừng máy'!$K$6:$K$1005,"Có kế hoạch"),"?"))</f>
        <v/>
      </c>
      <c r="Q289" s="28" t="str">
        <f>IF($C289="","",SUMIFS('3 Nhật ký dừng máy'!$I$6:$I$1005,'3 Nhật ký dừng máy'!$A$6:$A$1005,$A289,'3 Nhật ký dừng máy'!$B$6:$B$1005,$B289,'3 Nhật ký dừng máy'!$C$6:$C$1005,$C289,'3 Nhật ký dừng máy'!$K$6:$K$1005,"Ngoài kế hoạch"))</f>
        <v/>
      </c>
      <c r="R289" s="30" t="str">
        <f>IF($C289="","",COUNTIFS('3 Nhật ký dừng máy'!$A$6:$A$1005,$A289,'3 Nhật ký dừng máy'!$B$6:$B$1005,$B289,'3 Nhật ký dừng máy'!$C$6:$C$1005,$C289,'3 Nhật ký dừng máy'!$K$6:$K$1005,"Ngoài kế hoạch"))</f>
        <v/>
      </c>
      <c r="S289" s="31" t="str">
        <f t="shared" si="48"/>
        <v/>
      </c>
      <c r="T289" s="31" t="str">
        <f t="shared" si="49"/>
        <v/>
      </c>
      <c r="U289" s="31" t="str">
        <f t="shared" si="50"/>
        <v/>
      </c>
      <c r="V289" s="32" t="str">
        <f t="shared" si="51"/>
        <v/>
      </c>
      <c r="W289" s="30" t="str">
        <f t="shared" si="52"/>
        <v/>
      </c>
      <c r="X289" s="33" t="str">
        <f t="shared" si="53"/>
        <v/>
      </c>
      <c r="Y289" s="34" t="str">
        <f t="shared" si="54"/>
        <v/>
      </c>
    </row>
    <row r="290" spans="1:25" x14ac:dyDescent="0.2">
      <c r="A290" s="35"/>
      <c r="B290" s="21"/>
      <c r="C290" s="18"/>
      <c r="D290" s="21"/>
      <c r="E290" s="21"/>
      <c r="F290" s="21"/>
      <c r="G290" s="36"/>
      <c r="H290" s="36"/>
      <c r="I290" s="36"/>
      <c r="J290" s="37"/>
      <c r="K290" s="18"/>
      <c r="L290" s="28" t="str">
        <f t="shared" si="44"/>
        <v/>
      </c>
      <c r="M290" s="29" t="str">
        <f t="shared" si="45"/>
        <v/>
      </c>
      <c r="N290" s="29" t="str">
        <f t="shared" si="46"/>
        <v/>
      </c>
      <c r="O290" s="30" t="str">
        <f t="shared" si="47"/>
        <v/>
      </c>
      <c r="P290" s="28" t="str">
        <f>IF($C290="","",IFERROR(INDEX(CA_TG,MATCH(B290,DS_CA,0))-INDEX(CA_NGHI,MATCH(B290,DS_CA,0))-SUMIFS('3 Nhật ký dừng máy'!$I$6:$I$1005,'3 Nhật ký dừng máy'!$A$6:$A$1005,$A290,'3 Nhật ký dừng máy'!$B$6:$B$1005,$B290,'3 Nhật ký dừng máy'!$C$6:$C$1005,$C290,'3 Nhật ký dừng máy'!$K$6:$K$1005,"Có kế hoạch"),"?"))</f>
        <v/>
      </c>
      <c r="Q290" s="28" t="str">
        <f>IF($C290="","",SUMIFS('3 Nhật ký dừng máy'!$I$6:$I$1005,'3 Nhật ký dừng máy'!$A$6:$A$1005,$A290,'3 Nhật ký dừng máy'!$B$6:$B$1005,$B290,'3 Nhật ký dừng máy'!$C$6:$C$1005,$C290,'3 Nhật ký dừng máy'!$K$6:$K$1005,"Ngoài kế hoạch"))</f>
        <v/>
      </c>
      <c r="R290" s="30" t="str">
        <f>IF($C290="","",COUNTIFS('3 Nhật ký dừng máy'!$A$6:$A$1005,$A290,'3 Nhật ký dừng máy'!$B$6:$B$1005,$B290,'3 Nhật ký dừng máy'!$C$6:$C$1005,$C290,'3 Nhật ký dừng máy'!$K$6:$K$1005,"Ngoài kế hoạch"))</f>
        <v/>
      </c>
      <c r="S290" s="31" t="str">
        <f t="shared" si="48"/>
        <v/>
      </c>
      <c r="T290" s="31" t="str">
        <f t="shared" si="49"/>
        <v/>
      </c>
      <c r="U290" s="31" t="str">
        <f t="shared" si="50"/>
        <v/>
      </c>
      <c r="V290" s="32" t="str">
        <f t="shared" si="51"/>
        <v/>
      </c>
      <c r="W290" s="30" t="str">
        <f t="shared" si="52"/>
        <v/>
      </c>
      <c r="X290" s="33" t="str">
        <f t="shared" si="53"/>
        <v/>
      </c>
      <c r="Y290" s="34" t="str">
        <f t="shared" si="54"/>
        <v/>
      </c>
    </row>
    <row r="291" spans="1:25" x14ac:dyDescent="0.2">
      <c r="A291" s="35"/>
      <c r="B291" s="21"/>
      <c r="C291" s="18"/>
      <c r="D291" s="21"/>
      <c r="E291" s="21"/>
      <c r="F291" s="21"/>
      <c r="G291" s="36"/>
      <c r="H291" s="36"/>
      <c r="I291" s="36"/>
      <c r="J291" s="37"/>
      <c r="K291" s="18"/>
      <c r="L291" s="28" t="str">
        <f t="shared" si="44"/>
        <v/>
      </c>
      <c r="M291" s="29" t="str">
        <f t="shared" si="45"/>
        <v/>
      </c>
      <c r="N291" s="29" t="str">
        <f t="shared" si="46"/>
        <v/>
      </c>
      <c r="O291" s="30" t="str">
        <f t="shared" si="47"/>
        <v/>
      </c>
      <c r="P291" s="28" t="str">
        <f>IF($C291="","",IFERROR(INDEX(CA_TG,MATCH(B291,DS_CA,0))-INDEX(CA_NGHI,MATCH(B291,DS_CA,0))-SUMIFS('3 Nhật ký dừng máy'!$I$6:$I$1005,'3 Nhật ký dừng máy'!$A$6:$A$1005,$A291,'3 Nhật ký dừng máy'!$B$6:$B$1005,$B291,'3 Nhật ký dừng máy'!$C$6:$C$1005,$C291,'3 Nhật ký dừng máy'!$K$6:$K$1005,"Có kế hoạch"),"?"))</f>
        <v/>
      </c>
      <c r="Q291" s="28" t="str">
        <f>IF($C291="","",SUMIFS('3 Nhật ký dừng máy'!$I$6:$I$1005,'3 Nhật ký dừng máy'!$A$6:$A$1005,$A291,'3 Nhật ký dừng máy'!$B$6:$B$1005,$B291,'3 Nhật ký dừng máy'!$C$6:$C$1005,$C291,'3 Nhật ký dừng máy'!$K$6:$K$1005,"Ngoài kế hoạch"))</f>
        <v/>
      </c>
      <c r="R291" s="30" t="str">
        <f>IF($C291="","",COUNTIFS('3 Nhật ký dừng máy'!$A$6:$A$1005,$A291,'3 Nhật ký dừng máy'!$B$6:$B$1005,$B291,'3 Nhật ký dừng máy'!$C$6:$C$1005,$C291,'3 Nhật ký dừng máy'!$K$6:$K$1005,"Ngoài kế hoạch"))</f>
        <v/>
      </c>
      <c r="S291" s="31" t="str">
        <f t="shared" si="48"/>
        <v/>
      </c>
      <c r="T291" s="31" t="str">
        <f t="shared" si="49"/>
        <v/>
      </c>
      <c r="U291" s="31" t="str">
        <f t="shared" si="50"/>
        <v/>
      </c>
      <c r="V291" s="32" t="str">
        <f t="shared" si="51"/>
        <v/>
      </c>
      <c r="W291" s="30" t="str">
        <f t="shared" si="52"/>
        <v/>
      </c>
      <c r="X291" s="33" t="str">
        <f t="shared" si="53"/>
        <v/>
      </c>
      <c r="Y291" s="34" t="str">
        <f t="shared" si="54"/>
        <v/>
      </c>
    </row>
    <row r="292" spans="1:25" x14ac:dyDescent="0.2">
      <c r="A292" s="35"/>
      <c r="B292" s="21"/>
      <c r="C292" s="18"/>
      <c r="D292" s="21"/>
      <c r="E292" s="21"/>
      <c r="F292" s="21"/>
      <c r="G292" s="36"/>
      <c r="H292" s="36"/>
      <c r="I292" s="36"/>
      <c r="J292" s="37"/>
      <c r="K292" s="18"/>
      <c r="L292" s="28" t="str">
        <f t="shared" si="44"/>
        <v/>
      </c>
      <c r="M292" s="29" t="str">
        <f t="shared" si="45"/>
        <v/>
      </c>
      <c r="N292" s="29" t="str">
        <f t="shared" si="46"/>
        <v/>
      </c>
      <c r="O292" s="30" t="str">
        <f t="shared" si="47"/>
        <v/>
      </c>
      <c r="P292" s="28" t="str">
        <f>IF($C292="","",IFERROR(INDEX(CA_TG,MATCH(B292,DS_CA,0))-INDEX(CA_NGHI,MATCH(B292,DS_CA,0))-SUMIFS('3 Nhật ký dừng máy'!$I$6:$I$1005,'3 Nhật ký dừng máy'!$A$6:$A$1005,$A292,'3 Nhật ký dừng máy'!$B$6:$B$1005,$B292,'3 Nhật ký dừng máy'!$C$6:$C$1005,$C292,'3 Nhật ký dừng máy'!$K$6:$K$1005,"Có kế hoạch"),"?"))</f>
        <v/>
      </c>
      <c r="Q292" s="28" t="str">
        <f>IF($C292="","",SUMIFS('3 Nhật ký dừng máy'!$I$6:$I$1005,'3 Nhật ký dừng máy'!$A$6:$A$1005,$A292,'3 Nhật ký dừng máy'!$B$6:$B$1005,$B292,'3 Nhật ký dừng máy'!$C$6:$C$1005,$C292,'3 Nhật ký dừng máy'!$K$6:$K$1005,"Ngoài kế hoạch"))</f>
        <v/>
      </c>
      <c r="R292" s="30" t="str">
        <f>IF($C292="","",COUNTIFS('3 Nhật ký dừng máy'!$A$6:$A$1005,$A292,'3 Nhật ký dừng máy'!$B$6:$B$1005,$B292,'3 Nhật ký dừng máy'!$C$6:$C$1005,$C292,'3 Nhật ký dừng máy'!$K$6:$K$1005,"Ngoài kế hoạch"))</f>
        <v/>
      </c>
      <c r="S292" s="31" t="str">
        <f t="shared" si="48"/>
        <v/>
      </c>
      <c r="T292" s="31" t="str">
        <f t="shared" si="49"/>
        <v/>
      </c>
      <c r="U292" s="31" t="str">
        <f t="shared" si="50"/>
        <v/>
      </c>
      <c r="V292" s="32" t="str">
        <f t="shared" si="51"/>
        <v/>
      </c>
      <c r="W292" s="30" t="str">
        <f t="shared" si="52"/>
        <v/>
      </c>
      <c r="X292" s="33" t="str">
        <f t="shared" si="53"/>
        <v/>
      </c>
      <c r="Y292" s="34" t="str">
        <f t="shared" si="54"/>
        <v/>
      </c>
    </row>
    <row r="293" spans="1:25" x14ac:dyDescent="0.2">
      <c r="A293" s="35"/>
      <c r="B293" s="21"/>
      <c r="C293" s="18"/>
      <c r="D293" s="21"/>
      <c r="E293" s="21"/>
      <c r="F293" s="21"/>
      <c r="G293" s="36"/>
      <c r="H293" s="36"/>
      <c r="I293" s="36"/>
      <c r="J293" s="37"/>
      <c r="K293" s="18"/>
      <c r="L293" s="28" t="str">
        <f t="shared" si="44"/>
        <v/>
      </c>
      <c r="M293" s="29" t="str">
        <f t="shared" si="45"/>
        <v/>
      </c>
      <c r="N293" s="29" t="str">
        <f t="shared" si="46"/>
        <v/>
      </c>
      <c r="O293" s="30" t="str">
        <f t="shared" si="47"/>
        <v/>
      </c>
      <c r="P293" s="28" t="str">
        <f>IF($C293="","",IFERROR(INDEX(CA_TG,MATCH(B293,DS_CA,0))-INDEX(CA_NGHI,MATCH(B293,DS_CA,0))-SUMIFS('3 Nhật ký dừng máy'!$I$6:$I$1005,'3 Nhật ký dừng máy'!$A$6:$A$1005,$A293,'3 Nhật ký dừng máy'!$B$6:$B$1005,$B293,'3 Nhật ký dừng máy'!$C$6:$C$1005,$C293,'3 Nhật ký dừng máy'!$K$6:$K$1005,"Có kế hoạch"),"?"))</f>
        <v/>
      </c>
      <c r="Q293" s="28" t="str">
        <f>IF($C293="","",SUMIFS('3 Nhật ký dừng máy'!$I$6:$I$1005,'3 Nhật ký dừng máy'!$A$6:$A$1005,$A293,'3 Nhật ký dừng máy'!$B$6:$B$1005,$B293,'3 Nhật ký dừng máy'!$C$6:$C$1005,$C293,'3 Nhật ký dừng máy'!$K$6:$K$1005,"Ngoài kế hoạch"))</f>
        <v/>
      </c>
      <c r="R293" s="30" t="str">
        <f>IF($C293="","",COUNTIFS('3 Nhật ký dừng máy'!$A$6:$A$1005,$A293,'3 Nhật ký dừng máy'!$B$6:$B$1005,$B293,'3 Nhật ký dừng máy'!$C$6:$C$1005,$C293,'3 Nhật ký dừng máy'!$K$6:$K$1005,"Ngoài kế hoạch"))</f>
        <v/>
      </c>
      <c r="S293" s="31" t="str">
        <f t="shared" si="48"/>
        <v/>
      </c>
      <c r="T293" s="31" t="str">
        <f t="shared" si="49"/>
        <v/>
      </c>
      <c r="U293" s="31" t="str">
        <f t="shared" si="50"/>
        <v/>
      </c>
      <c r="V293" s="32" t="str">
        <f t="shared" si="51"/>
        <v/>
      </c>
      <c r="W293" s="30" t="str">
        <f t="shared" si="52"/>
        <v/>
      </c>
      <c r="X293" s="33" t="str">
        <f t="shared" si="53"/>
        <v/>
      </c>
      <c r="Y293" s="34" t="str">
        <f t="shared" si="54"/>
        <v/>
      </c>
    </row>
    <row r="294" spans="1:25" x14ac:dyDescent="0.2">
      <c r="A294" s="35"/>
      <c r="B294" s="21"/>
      <c r="C294" s="18"/>
      <c r="D294" s="21"/>
      <c r="E294" s="21"/>
      <c r="F294" s="21"/>
      <c r="G294" s="36"/>
      <c r="H294" s="36"/>
      <c r="I294" s="36"/>
      <c r="J294" s="37"/>
      <c r="K294" s="18"/>
      <c r="L294" s="28" t="str">
        <f t="shared" si="44"/>
        <v/>
      </c>
      <c r="M294" s="29" t="str">
        <f t="shared" si="45"/>
        <v/>
      </c>
      <c r="N294" s="29" t="str">
        <f t="shared" si="46"/>
        <v/>
      </c>
      <c r="O294" s="30" t="str">
        <f t="shared" si="47"/>
        <v/>
      </c>
      <c r="P294" s="28" t="str">
        <f>IF($C294="","",IFERROR(INDEX(CA_TG,MATCH(B294,DS_CA,0))-INDEX(CA_NGHI,MATCH(B294,DS_CA,0))-SUMIFS('3 Nhật ký dừng máy'!$I$6:$I$1005,'3 Nhật ký dừng máy'!$A$6:$A$1005,$A294,'3 Nhật ký dừng máy'!$B$6:$B$1005,$B294,'3 Nhật ký dừng máy'!$C$6:$C$1005,$C294,'3 Nhật ký dừng máy'!$K$6:$K$1005,"Có kế hoạch"),"?"))</f>
        <v/>
      </c>
      <c r="Q294" s="28" t="str">
        <f>IF($C294="","",SUMIFS('3 Nhật ký dừng máy'!$I$6:$I$1005,'3 Nhật ký dừng máy'!$A$6:$A$1005,$A294,'3 Nhật ký dừng máy'!$B$6:$B$1005,$B294,'3 Nhật ký dừng máy'!$C$6:$C$1005,$C294,'3 Nhật ký dừng máy'!$K$6:$K$1005,"Ngoài kế hoạch"))</f>
        <v/>
      </c>
      <c r="R294" s="30" t="str">
        <f>IF($C294="","",COUNTIFS('3 Nhật ký dừng máy'!$A$6:$A$1005,$A294,'3 Nhật ký dừng máy'!$B$6:$B$1005,$B294,'3 Nhật ký dừng máy'!$C$6:$C$1005,$C294,'3 Nhật ký dừng máy'!$K$6:$K$1005,"Ngoài kế hoạch"))</f>
        <v/>
      </c>
      <c r="S294" s="31" t="str">
        <f t="shared" si="48"/>
        <v/>
      </c>
      <c r="T294" s="31" t="str">
        <f t="shared" si="49"/>
        <v/>
      </c>
      <c r="U294" s="31" t="str">
        <f t="shared" si="50"/>
        <v/>
      </c>
      <c r="V294" s="32" t="str">
        <f t="shared" si="51"/>
        <v/>
      </c>
      <c r="W294" s="30" t="str">
        <f t="shared" si="52"/>
        <v/>
      </c>
      <c r="X294" s="33" t="str">
        <f t="shared" si="53"/>
        <v/>
      </c>
      <c r="Y294" s="34" t="str">
        <f t="shared" si="54"/>
        <v/>
      </c>
    </row>
    <row r="295" spans="1:25" x14ac:dyDescent="0.2">
      <c r="A295" s="35"/>
      <c r="B295" s="21"/>
      <c r="C295" s="18"/>
      <c r="D295" s="21"/>
      <c r="E295" s="21"/>
      <c r="F295" s="21"/>
      <c r="G295" s="36"/>
      <c r="H295" s="36"/>
      <c r="I295" s="36"/>
      <c r="J295" s="37"/>
      <c r="K295" s="18"/>
      <c r="L295" s="28" t="str">
        <f t="shared" si="44"/>
        <v/>
      </c>
      <c r="M295" s="29" t="str">
        <f t="shared" si="45"/>
        <v/>
      </c>
      <c r="N295" s="29" t="str">
        <f t="shared" si="46"/>
        <v/>
      </c>
      <c r="O295" s="30" t="str">
        <f t="shared" si="47"/>
        <v/>
      </c>
      <c r="P295" s="28" t="str">
        <f>IF($C295="","",IFERROR(INDEX(CA_TG,MATCH(B295,DS_CA,0))-INDEX(CA_NGHI,MATCH(B295,DS_CA,0))-SUMIFS('3 Nhật ký dừng máy'!$I$6:$I$1005,'3 Nhật ký dừng máy'!$A$6:$A$1005,$A295,'3 Nhật ký dừng máy'!$B$6:$B$1005,$B295,'3 Nhật ký dừng máy'!$C$6:$C$1005,$C295,'3 Nhật ký dừng máy'!$K$6:$K$1005,"Có kế hoạch"),"?"))</f>
        <v/>
      </c>
      <c r="Q295" s="28" t="str">
        <f>IF($C295="","",SUMIFS('3 Nhật ký dừng máy'!$I$6:$I$1005,'3 Nhật ký dừng máy'!$A$6:$A$1005,$A295,'3 Nhật ký dừng máy'!$B$6:$B$1005,$B295,'3 Nhật ký dừng máy'!$C$6:$C$1005,$C295,'3 Nhật ký dừng máy'!$K$6:$K$1005,"Ngoài kế hoạch"))</f>
        <v/>
      </c>
      <c r="R295" s="30" t="str">
        <f>IF($C295="","",COUNTIFS('3 Nhật ký dừng máy'!$A$6:$A$1005,$A295,'3 Nhật ký dừng máy'!$B$6:$B$1005,$B295,'3 Nhật ký dừng máy'!$C$6:$C$1005,$C295,'3 Nhật ký dừng máy'!$K$6:$K$1005,"Ngoài kế hoạch"))</f>
        <v/>
      </c>
      <c r="S295" s="31" t="str">
        <f t="shared" si="48"/>
        <v/>
      </c>
      <c r="T295" s="31" t="str">
        <f t="shared" si="49"/>
        <v/>
      </c>
      <c r="U295" s="31" t="str">
        <f t="shared" si="50"/>
        <v/>
      </c>
      <c r="V295" s="32" t="str">
        <f t="shared" si="51"/>
        <v/>
      </c>
      <c r="W295" s="30" t="str">
        <f t="shared" si="52"/>
        <v/>
      </c>
      <c r="X295" s="33" t="str">
        <f t="shared" si="53"/>
        <v/>
      </c>
      <c r="Y295" s="34" t="str">
        <f t="shared" si="54"/>
        <v/>
      </c>
    </row>
    <row r="296" spans="1:25" x14ac:dyDescent="0.2">
      <c r="A296" s="35"/>
      <c r="B296" s="21"/>
      <c r="C296" s="18"/>
      <c r="D296" s="21"/>
      <c r="E296" s="21"/>
      <c r="F296" s="21"/>
      <c r="G296" s="36"/>
      <c r="H296" s="36"/>
      <c r="I296" s="36"/>
      <c r="J296" s="37"/>
      <c r="K296" s="18"/>
      <c r="L296" s="28" t="str">
        <f t="shared" si="44"/>
        <v/>
      </c>
      <c r="M296" s="29" t="str">
        <f t="shared" si="45"/>
        <v/>
      </c>
      <c r="N296" s="29" t="str">
        <f t="shared" si="46"/>
        <v/>
      </c>
      <c r="O296" s="30" t="str">
        <f t="shared" si="47"/>
        <v/>
      </c>
      <c r="P296" s="28" t="str">
        <f>IF($C296="","",IFERROR(INDEX(CA_TG,MATCH(B296,DS_CA,0))-INDEX(CA_NGHI,MATCH(B296,DS_CA,0))-SUMIFS('3 Nhật ký dừng máy'!$I$6:$I$1005,'3 Nhật ký dừng máy'!$A$6:$A$1005,$A296,'3 Nhật ký dừng máy'!$B$6:$B$1005,$B296,'3 Nhật ký dừng máy'!$C$6:$C$1005,$C296,'3 Nhật ký dừng máy'!$K$6:$K$1005,"Có kế hoạch"),"?"))</f>
        <v/>
      </c>
      <c r="Q296" s="28" t="str">
        <f>IF($C296="","",SUMIFS('3 Nhật ký dừng máy'!$I$6:$I$1005,'3 Nhật ký dừng máy'!$A$6:$A$1005,$A296,'3 Nhật ký dừng máy'!$B$6:$B$1005,$B296,'3 Nhật ký dừng máy'!$C$6:$C$1005,$C296,'3 Nhật ký dừng máy'!$K$6:$K$1005,"Ngoài kế hoạch"))</f>
        <v/>
      </c>
      <c r="R296" s="30" t="str">
        <f>IF($C296="","",COUNTIFS('3 Nhật ký dừng máy'!$A$6:$A$1005,$A296,'3 Nhật ký dừng máy'!$B$6:$B$1005,$B296,'3 Nhật ký dừng máy'!$C$6:$C$1005,$C296,'3 Nhật ký dừng máy'!$K$6:$K$1005,"Ngoài kế hoạch"))</f>
        <v/>
      </c>
      <c r="S296" s="31" t="str">
        <f t="shared" si="48"/>
        <v/>
      </c>
      <c r="T296" s="31" t="str">
        <f t="shared" si="49"/>
        <v/>
      </c>
      <c r="U296" s="31" t="str">
        <f t="shared" si="50"/>
        <v/>
      </c>
      <c r="V296" s="32" t="str">
        <f t="shared" si="51"/>
        <v/>
      </c>
      <c r="W296" s="30" t="str">
        <f t="shared" si="52"/>
        <v/>
      </c>
      <c r="X296" s="33" t="str">
        <f t="shared" si="53"/>
        <v/>
      </c>
      <c r="Y296" s="34" t="str">
        <f t="shared" si="54"/>
        <v/>
      </c>
    </row>
    <row r="297" spans="1:25" x14ac:dyDescent="0.2">
      <c r="A297" s="35"/>
      <c r="B297" s="21"/>
      <c r="C297" s="18"/>
      <c r="D297" s="21"/>
      <c r="E297" s="21"/>
      <c r="F297" s="21"/>
      <c r="G297" s="36"/>
      <c r="H297" s="36"/>
      <c r="I297" s="36"/>
      <c r="J297" s="37"/>
      <c r="K297" s="18"/>
      <c r="L297" s="28" t="str">
        <f t="shared" si="44"/>
        <v/>
      </c>
      <c r="M297" s="29" t="str">
        <f t="shared" si="45"/>
        <v/>
      </c>
      <c r="N297" s="29" t="str">
        <f t="shared" si="46"/>
        <v/>
      </c>
      <c r="O297" s="30" t="str">
        <f t="shared" si="47"/>
        <v/>
      </c>
      <c r="P297" s="28" t="str">
        <f>IF($C297="","",IFERROR(INDEX(CA_TG,MATCH(B297,DS_CA,0))-INDEX(CA_NGHI,MATCH(B297,DS_CA,0))-SUMIFS('3 Nhật ký dừng máy'!$I$6:$I$1005,'3 Nhật ký dừng máy'!$A$6:$A$1005,$A297,'3 Nhật ký dừng máy'!$B$6:$B$1005,$B297,'3 Nhật ký dừng máy'!$C$6:$C$1005,$C297,'3 Nhật ký dừng máy'!$K$6:$K$1005,"Có kế hoạch"),"?"))</f>
        <v/>
      </c>
      <c r="Q297" s="28" t="str">
        <f>IF($C297="","",SUMIFS('3 Nhật ký dừng máy'!$I$6:$I$1005,'3 Nhật ký dừng máy'!$A$6:$A$1005,$A297,'3 Nhật ký dừng máy'!$B$6:$B$1005,$B297,'3 Nhật ký dừng máy'!$C$6:$C$1005,$C297,'3 Nhật ký dừng máy'!$K$6:$K$1005,"Ngoài kế hoạch"))</f>
        <v/>
      </c>
      <c r="R297" s="30" t="str">
        <f>IF($C297="","",COUNTIFS('3 Nhật ký dừng máy'!$A$6:$A$1005,$A297,'3 Nhật ký dừng máy'!$B$6:$B$1005,$B297,'3 Nhật ký dừng máy'!$C$6:$C$1005,$C297,'3 Nhật ký dừng máy'!$K$6:$K$1005,"Ngoài kế hoạch"))</f>
        <v/>
      </c>
      <c r="S297" s="31" t="str">
        <f t="shared" si="48"/>
        <v/>
      </c>
      <c r="T297" s="31" t="str">
        <f t="shared" si="49"/>
        <v/>
      </c>
      <c r="U297" s="31" t="str">
        <f t="shared" si="50"/>
        <v/>
      </c>
      <c r="V297" s="32" t="str">
        <f t="shared" si="51"/>
        <v/>
      </c>
      <c r="W297" s="30" t="str">
        <f t="shared" si="52"/>
        <v/>
      </c>
      <c r="X297" s="33" t="str">
        <f t="shared" si="53"/>
        <v/>
      </c>
      <c r="Y297" s="34" t="str">
        <f t="shared" si="54"/>
        <v/>
      </c>
    </row>
    <row r="298" spans="1:25" x14ac:dyDescent="0.2">
      <c r="A298" s="35"/>
      <c r="B298" s="21"/>
      <c r="C298" s="18"/>
      <c r="D298" s="21"/>
      <c r="E298" s="21"/>
      <c r="F298" s="21"/>
      <c r="G298" s="36"/>
      <c r="H298" s="36"/>
      <c r="I298" s="36"/>
      <c r="J298" s="37"/>
      <c r="K298" s="18"/>
      <c r="L298" s="28" t="str">
        <f t="shared" si="44"/>
        <v/>
      </c>
      <c r="M298" s="29" t="str">
        <f t="shared" si="45"/>
        <v/>
      </c>
      <c r="N298" s="29" t="str">
        <f t="shared" si="46"/>
        <v/>
      </c>
      <c r="O298" s="30" t="str">
        <f t="shared" si="47"/>
        <v/>
      </c>
      <c r="P298" s="28" t="str">
        <f>IF($C298="","",IFERROR(INDEX(CA_TG,MATCH(B298,DS_CA,0))-INDEX(CA_NGHI,MATCH(B298,DS_CA,0))-SUMIFS('3 Nhật ký dừng máy'!$I$6:$I$1005,'3 Nhật ký dừng máy'!$A$6:$A$1005,$A298,'3 Nhật ký dừng máy'!$B$6:$B$1005,$B298,'3 Nhật ký dừng máy'!$C$6:$C$1005,$C298,'3 Nhật ký dừng máy'!$K$6:$K$1005,"Có kế hoạch"),"?"))</f>
        <v/>
      </c>
      <c r="Q298" s="28" t="str">
        <f>IF($C298="","",SUMIFS('3 Nhật ký dừng máy'!$I$6:$I$1005,'3 Nhật ký dừng máy'!$A$6:$A$1005,$A298,'3 Nhật ký dừng máy'!$B$6:$B$1005,$B298,'3 Nhật ký dừng máy'!$C$6:$C$1005,$C298,'3 Nhật ký dừng máy'!$K$6:$K$1005,"Ngoài kế hoạch"))</f>
        <v/>
      </c>
      <c r="R298" s="30" t="str">
        <f>IF($C298="","",COUNTIFS('3 Nhật ký dừng máy'!$A$6:$A$1005,$A298,'3 Nhật ký dừng máy'!$B$6:$B$1005,$B298,'3 Nhật ký dừng máy'!$C$6:$C$1005,$C298,'3 Nhật ký dừng máy'!$K$6:$K$1005,"Ngoài kế hoạch"))</f>
        <v/>
      </c>
      <c r="S298" s="31" t="str">
        <f t="shared" si="48"/>
        <v/>
      </c>
      <c r="T298" s="31" t="str">
        <f t="shared" si="49"/>
        <v/>
      </c>
      <c r="U298" s="31" t="str">
        <f t="shared" si="50"/>
        <v/>
      </c>
      <c r="V298" s="32" t="str">
        <f t="shared" si="51"/>
        <v/>
      </c>
      <c r="W298" s="30" t="str">
        <f t="shared" si="52"/>
        <v/>
      </c>
      <c r="X298" s="33" t="str">
        <f t="shared" si="53"/>
        <v/>
      </c>
      <c r="Y298" s="34" t="str">
        <f t="shared" si="54"/>
        <v/>
      </c>
    </row>
    <row r="299" spans="1:25" x14ac:dyDescent="0.2">
      <c r="A299" s="35"/>
      <c r="B299" s="21"/>
      <c r="C299" s="18"/>
      <c r="D299" s="21"/>
      <c r="E299" s="21"/>
      <c r="F299" s="21"/>
      <c r="G299" s="36"/>
      <c r="H299" s="36"/>
      <c r="I299" s="36"/>
      <c r="J299" s="37"/>
      <c r="K299" s="18"/>
      <c r="L299" s="28" t="str">
        <f t="shared" si="44"/>
        <v/>
      </c>
      <c r="M299" s="29" t="str">
        <f t="shared" si="45"/>
        <v/>
      </c>
      <c r="N299" s="29" t="str">
        <f t="shared" si="46"/>
        <v/>
      </c>
      <c r="O299" s="30" t="str">
        <f t="shared" si="47"/>
        <v/>
      </c>
      <c r="P299" s="28" t="str">
        <f>IF($C299="","",IFERROR(INDEX(CA_TG,MATCH(B299,DS_CA,0))-INDEX(CA_NGHI,MATCH(B299,DS_CA,0))-SUMIFS('3 Nhật ký dừng máy'!$I$6:$I$1005,'3 Nhật ký dừng máy'!$A$6:$A$1005,$A299,'3 Nhật ký dừng máy'!$B$6:$B$1005,$B299,'3 Nhật ký dừng máy'!$C$6:$C$1005,$C299,'3 Nhật ký dừng máy'!$K$6:$K$1005,"Có kế hoạch"),"?"))</f>
        <v/>
      </c>
      <c r="Q299" s="28" t="str">
        <f>IF($C299="","",SUMIFS('3 Nhật ký dừng máy'!$I$6:$I$1005,'3 Nhật ký dừng máy'!$A$6:$A$1005,$A299,'3 Nhật ký dừng máy'!$B$6:$B$1005,$B299,'3 Nhật ký dừng máy'!$C$6:$C$1005,$C299,'3 Nhật ký dừng máy'!$K$6:$K$1005,"Ngoài kế hoạch"))</f>
        <v/>
      </c>
      <c r="R299" s="30" t="str">
        <f>IF($C299="","",COUNTIFS('3 Nhật ký dừng máy'!$A$6:$A$1005,$A299,'3 Nhật ký dừng máy'!$B$6:$B$1005,$B299,'3 Nhật ký dừng máy'!$C$6:$C$1005,$C299,'3 Nhật ký dừng máy'!$K$6:$K$1005,"Ngoài kế hoạch"))</f>
        <v/>
      </c>
      <c r="S299" s="31" t="str">
        <f t="shared" si="48"/>
        <v/>
      </c>
      <c r="T299" s="31" t="str">
        <f t="shared" si="49"/>
        <v/>
      </c>
      <c r="U299" s="31" t="str">
        <f t="shared" si="50"/>
        <v/>
      </c>
      <c r="V299" s="32" t="str">
        <f t="shared" si="51"/>
        <v/>
      </c>
      <c r="W299" s="30" t="str">
        <f t="shared" si="52"/>
        <v/>
      </c>
      <c r="X299" s="33" t="str">
        <f t="shared" si="53"/>
        <v/>
      </c>
      <c r="Y299" s="34" t="str">
        <f t="shared" si="54"/>
        <v/>
      </c>
    </row>
    <row r="300" spans="1:25" x14ac:dyDescent="0.2">
      <c r="A300" s="35"/>
      <c r="B300" s="21"/>
      <c r="C300" s="18"/>
      <c r="D300" s="21"/>
      <c r="E300" s="21"/>
      <c r="F300" s="21"/>
      <c r="G300" s="36"/>
      <c r="H300" s="36"/>
      <c r="I300" s="36"/>
      <c r="J300" s="37"/>
      <c r="K300" s="18"/>
      <c r="L300" s="28" t="str">
        <f t="shared" si="44"/>
        <v/>
      </c>
      <c r="M300" s="29" t="str">
        <f t="shared" si="45"/>
        <v/>
      </c>
      <c r="N300" s="29" t="str">
        <f t="shared" si="46"/>
        <v/>
      </c>
      <c r="O300" s="30" t="str">
        <f t="shared" si="47"/>
        <v/>
      </c>
      <c r="P300" s="28" t="str">
        <f>IF($C300="","",IFERROR(INDEX(CA_TG,MATCH(B300,DS_CA,0))-INDEX(CA_NGHI,MATCH(B300,DS_CA,0))-SUMIFS('3 Nhật ký dừng máy'!$I$6:$I$1005,'3 Nhật ký dừng máy'!$A$6:$A$1005,$A300,'3 Nhật ký dừng máy'!$B$6:$B$1005,$B300,'3 Nhật ký dừng máy'!$C$6:$C$1005,$C300,'3 Nhật ký dừng máy'!$K$6:$K$1005,"Có kế hoạch"),"?"))</f>
        <v/>
      </c>
      <c r="Q300" s="28" t="str">
        <f>IF($C300="","",SUMIFS('3 Nhật ký dừng máy'!$I$6:$I$1005,'3 Nhật ký dừng máy'!$A$6:$A$1005,$A300,'3 Nhật ký dừng máy'!$B$6:$B$1005,$B300,'3 Nhật ký dừng máy'!$C$6:$C$1005,$C300,'3 Nhật ký dừng máy'!$K$6:$K$1005,"Ngoài kế hoạch"))</f>
        <v/>
      </c>
      <c r="R300" s="30" t="str">
        <f>IF($C300="","",COUNTIFS('3 Nhật ký dừng máy'!$A$6:$A$1005,$A300,'3 Nhật ký dừng máy'!$B$6:$B$1005,$B300,'3 Nhật ký dừng máy'!$C$6:$C$1005,$C300,'3 Nhật ký dừng máy'!$K$6:$K$1005,"Ngoài kế hoạch"))</f>
        <v/>
      </c>
      <c r="S300" s="31" t="str">
        <f t="shared" si="48"/>
        <v/>
      </c>
      <c r="T300" s="31" t="str">
        <f t="shared" si="49"/>
        <v/>
      </c>
      <c r="U300" s="31" t="str">
        <f t="shared" si="50"/>
        <v/>
      </c>
      <c r="V300" s="32" t="str">
        <f t="shared" si="51"/>
        <v/>
      </c>
      <c r="W300" s="30" t="str">
        <f t="shared" si="52"/>
        <v/>
      </c>
      <c r="X300" s="33" t="str">
        <f t="shared" si="53"/>
        <v/>
      </c>
      <c r="Y300" s="34" t="str">
        <f t="shared" si="54"/>
        <v/>
      </c>
    </row>
    <row r="301" spans="1:25" x14ac:dyDescent="0.2">
      <c r="A301" s="35"/>
      <c r="B301" s="21"/>
      <c r="C301" s="18"/>
      <c r="D301" s="21"/>
      <c r="E301" s="21"/>
      <c r="F301" s="21"/>
      <c r="G301" s="36"/>
      <c r="H301" s="36"/>
      <c r="I301" s="36"/>
      <c r="J301" s="37"/>
      <c r="K301" s="18"/>
      <c r="L301" s="28" t="str">
        <f t="shared" si="44"/>
        <v/>
      </c>
      <c r="M301" s="29" t="str">
        <f t="shared" si="45"/>
        <v/>
      </c>
      <c r="N301" s="29" t="str">
        <f t="shared" si="46"/>
        <v/>
      </c>
      <c r="O301" s="30" t="str">
        <f t="shared" si="47"/>
        <v/>
      </c>
      <c r="P301" s="28" t="str">
        <f>IF($C301="","",IFERROR(INDEX(CA_TG,MATCH(B301,DS_CA,0))-INDEX(CA_NGHI,MATCH(B301,DS_CA,0))-SUMIFS('3 Nhật ký dừng máy'!$I$6:$I$1005,'3 Nhật ký dừng máy'!$A$6:$A$1005,$A301,'3 Nhật ký dừng máy'!$B$6:$B$1005,$B301,'3 Nhật ký dừng máy'!$C$6:$C$1005,$C301,'3 Nhật ký dừng máy'!$K$6:$K$1005,"Có kế hoạch"),"?"))</f>
        <v/>
      </c>
      <c r="Q301" s="28" t="str">
        <f>IF($C301="","",SUMIFS('3 Nhật ký dừng máy'!$I$6:$I$1005,'3 Nhật ký dừng máy'!$A$6:$A$1005,$A301,'3 Nhật ký dừng máy'!$B$6:$B$1005,$B301,'3 Nhật ký dừng máy'!$C$6:$C$1005,$C301,'3 Nhật ký dừng máy'!$K$6:$K$1005,"Ngoài kế hoạch"))</f>
        <v/>
      </c>
      <c r="R301" s="30" t="str">
        <f>IF($C301="","",COUNTIFS('3 Nhật ký dừng máy'!$A$6:$A$1005,$A301,'3 Nhật ký dừng máy'!$B$6:$B$1005,$B301,'3 Nhật ký dừng máy'!$C$6:$C$1005,$C301,'3 Nhật ký dừng máy'!$K$6:$K$1005,"Ngoài kế hoạch"))</f>
        <v/>
      </c>
      <c r="S301" s="31" t="str">
        <f t="shared" si="48"/>
        <v/>
      </c>
      <c r="T301" s="31" t="str">
        <f t="shared" si="49"/>
        <v/>
      </c>
      <c r="U301" s="31" t="str">
        <f t="shared" si="50"/>
        <v/>
      </c>
      <c r="V301" s="32" t="str">
        <f t="shared" si="51"/>
        <v/>
      </c>
      <c r="W301" s="30" t="str">
        <f t="shared" si="52"/>
        <v/>
      </c>
      <c r="X301" s="33" t="str">
        <f t="shared" si="53"/>
        <v/>
      </c>
      <c r="Y301" s="34" t="str">
        <f t="shared" si="54"/>
        <v/>
      </c>
    </row>
    <row r="302" spans="1:25" x14ac:dyDescent="0.2">
      <c r="A302" s="35"/>
      <c r="B302" s="21"/>
      <c r="C302" s="18"/>
      <c r="D302" s="21"/>
      <c r="E302" s="21"/>
      <c r="F302" s="21"/>
      <c r="G302" s="36"/>
      <c r="H302" s="36"/>
      <c r="I302" s="36"/>
      <c r="J302" s="37"/>
      <c r="K302" s="18"/>
      <c r="L302" s="28" t="str">
        <f t="shared" si="44"/>
        <v/>
      </c>
      <c r="M302" s="29" t="str">
        <f t="shared" si="45"/>
        <v/>
      </c>
      <c r="N302" s="29" t="str">
        <f t="shared" si="46"/>
        <v/>
      </c>
      <c r="O302" s="30" t="str">
        <f t="shared" si="47"/>
        <v/>
      </c>
      <c r="P302" s="28" t="str">
        <f>IF($C302="","",IFERROR(INDEX(CA_TG,MATCH(B302,DS_CA,0))-INDEX(CA_NGHI,MATCH(B302,DS_CA,0))-SUMIFS('3 Nhật ký dừng máy'!$I$6:$I$1005,'3 Nhật ký dừng máy'!$A$6:$A$1005,$A302,'3 Nhật ký dừng máy'!$B$6:$B$1005,$B302,'3 Nhật ký dừng máy'!$C$6:$C$1005,$C302,'3 Nhật ký dừng máy'!$K$6:$K$1005,"Có kế hoạch"),"?"))</f>
        <v/>
      </c>
      <c r="Q302" s="28" t="str">
        <f>IF($C302="","",SUMIFS('3 Nhật ký dừng máy'!$I$6:$I$1005,'3 Nhật ký dừng máy'!$A$6:$A$1005,$A302,'3 Nhật ký dừng máy'!$B$6:$B$1005,$B302,'3 Nhật ký dừng máy'!$C$6:$C$1005,$C302,'3 Nhật ký dừng máy'!$K$6:$K$1005,"Ngoài kế hoạch"))</f>
        <v/>
      </c>
      <c r="R302" s="30" t="str">
        <f>IF($C302="","",COUNTIFS('3 Nhật ký dừng máy'!$A$6:$A$1005,$A302,'3 Nhật ký dừng máy'!$B$6:$B$1005,$B302,'3 Nhật ký dừng máy'!$C$6:$C$1005,$C302,'3 Nhật ký dừng máy'!$K$6:$K$1005,"Ngoài kế hoạch"))</f>
        <v/>
      </c>
      <c r="S302" s="31" t="str">
        <f t="shared" si="48"/>
        <v/>
      </c>
      <c r="T302" s="31" t="str">
        <f t="shared" si="49"/>
        <v/>
      </c>
      <c r="U302" s="31" t="str">
        <f t="shared" si="50"/>
        <v/>
      </c>
      <c r="V302" s="32" t="str">
        <f t="shared" si="51"/>
        <v/>
      </c>
      <c r="W302" s="30" t="str">
        <f t="shared" si="52"/>
        <v/>
      </c>
      <c r="X302" s="33" t="str">
        <f t="shared" si="53"/>
        <v/>
      </c>
      <c r="Y302" s="34" t="str">
        <f t="shared" si="54"/>
        <v/>
      </c>
    </row>
    <row r="303" spans="1:25" x14ac:dyDescent="0.2">
      <c r="A303" s="35"/>
      <c r="B303" s="21"/>
      <c r="C303" s="18"/>
      <c r="D303" s="21"/>
      <c r="E303" s="21"/>
      <c r="F303" s="21"/>
      <c r="G303" s="36"/>
      <c r="H303" s="36"/>
      <c r="I303" s="36"/>
      <c r="J303" s="37"/>
      <c r="K303" s="18"/>
      <c r="L303" s="28" t="str">
        <f t="shared" si="44"/>
        <v/>
      </c>
      <c r="M303" s="29" t="str">
        <f t="shared" si="45"/>
        <v/>
      </c>
      <c r="N303" s="29" t="str">
        <f t="shared" si="46"/>
        <v/>
      </c>
      <c r="O303" s="30" t="str">
        <f t="shared" si="47"/>
        <v/>
      </c>
      <c r="P303" s="28" t="str">
        <f>IF($C303="","",IFERROR(INDEX(CA_TG,MATCH(B303,DS_CA,0))-INDEX(CA_NGHI,MATCH(B303,DS_CA,0))-SUMIFS('3 Nhật ký dừng máy'!$I$6:$I$1005,'3 Nhật ký dừng máy'!$A$6:$A$1005,$A303,'3 Nhật ký dừng máy'!$B$6:$B$1005,$B303,'3 Nhật ký dừng máy'!$C$6:$C$1005,$C303,'3 Nhật ký dừng máy'!$K$6:$K$1005,"Có kế hoạch"),"?"))</f>
        <v/>
      </c>
      <c r="Q303" s="28" t="str">
        <f>IF($C303="","",SUMIFS('3 Nhật ký dừng máy'!$I$6:$I$1005,'3 Nhật ký dừng máy'!$A$6:$A$1005,$A303,'3 Nhật ký dừng máy'!$B$6:$B$1005,$B303,'3 Nhật ký dừng máy'!$C$6:$C$1005,$C303,'3 Nhật ký dừng máy'!$K$6:$K$1005,"Ngoài kế hoạch"))</f>
        <v/>
      </c>
      <c r="R303" s="30" t="str">
        <f>IF($C303="","",COUNTIFS('3 Nhật ký dừng máy'!$A$6:$A$1005,$A303,'3 Nhật ký dừng máy'!$B$6:$B$1005,$B303,'3 Nhật ký dừng máy'!$C$6:$C$1005,$C303,'3 Nhật ký dừng máy'!$K$6:$K$1005,"Ngoài kế hoạch"))</f>
        <v/>
      </c>
      <c r="S303" s="31" t="str">
        <f t="shared" si="48"/>
        <v/>
      </c>
      <c r="T303" s="31" t="str">
        <f t="shared" si="49"/>
        <v/>
      </c>
      <c r="U303" s="31" t="str">
        <f t="shared" si="50"/>
        <v/>
      </c>
      <c r="V303" s="32" t="str">
        <f t="shared" si="51"/>
        <v/>
      </c>
      <c r="W303" s="30" t="str">
        <f t="shared" si="52"/>
        <v/>
      </c>
      <c r="X303" s="33" t="str">
        <f t="shared" si="53"/>
        <v/>
      </c>
      <c r="Y303" s="34" t="str">
        <f t="shared" si="54"/>
        <v/>
      </c>
    </row>
    <row r="304" spans="1:25" x14ac:dyDescent="0.2">
      <c r="A304" s="35"/>
      <c r="B304" s="21"/>
      <c r="C304" s="18"/>
      <c r="D304" s="21"/>
      <c r="E304" s="21"/>
      <c r="F304" s="21"/>
      <c r="G304" s="36"/>
      <c r="H304" s="36"/>
      <c r="I304" s="36"/>
      <c r="J304" s="37"/>
      <c r="K304" s="18"/>
      <c r="L304" s="28" t="str">
        <f t="shared" si="44"/>
        <v/>
      </c>
      <c r="M304" s="29" t="str">
        <f t="shared" si="45"/>
        <v/>
      </c>
      <c r="N304" s="29" t="str">
        <f t="shared" si="46"/>
        <v/>
      </c>
      <c r="O304" s="30" t="str">
        <f t="shared" si="47"/>
        <v/>
      </c>
      <c r="P304" s="28" t="str">
        <f>IF($C304="","",IFERROR(INDEX(CA_TG,MATCH(B304,DS_CA,0))-INDEX(CA_NGHI,MATCH(B304,DS_CA,0))-SUMIFS('3 Nhật ký dừng máy'!$I$6:$I$1005,'3 Nhật ký dừng máy'!$A$6:$A$1005,$A304,'3 Nhật ký dừng máy'!$B$6:$B$1005,$B304,'3 Nhật ký dừng máy'!$C$6:$C$1005,$C304,'3 Nhật ký dừng máy'!$K$6:$K$1005,"Có kế hoạch"),"?"))</f>
        <v/>
      </c>
      <c r="Q304" s="28" t="str">
        <f>IF($C304="","",SUMIFS('3 Nhật ký dừng máy'!$I$6:$I$1005,'3 Nhật ký dừng máy'!$A$6:$A$1005,$A304,'3 Nhật ký dừng máy'!$B$6:$B$1005,$B304,'3 Nhật ký dừng máy'!$C$6:$C$1005,$C304,'3 Nhật ký dừng máy'!$K$6:$K$1005,"Ngoài kế hoạch"))</f>
        <v/>
      </c>
      <c r="R304" s="30" t="str">
        <f>IF($C304="","",COUNTIFS('3 Nhật ký dừng máy'!$A$6:$A$1005,$A304,'3 Nhật ký dừng máy'!$B$6:$B$1005,$B304,'3 Nhật ký dừng máy'!$C$6:$C$1005,$C304,'3 Nhật ký dừng máy'!$K$6:$K$1005,"Ngoài kế hoạch"))</f>
        <v/>
      </c>
      <c r="S304" s="31" t="str">
        <f t="shared" si="48"/>
        <v/>
      </c>
      <c r="T304" s="31" t="str">
        <f t="shared" si="49"/>
        <v/>
      </c>
      <c r="U304" s="31" t="str">
        <f t="shared" si="50"/>
        <v/>
      </c>
      <c r="V304" s="32" t="str">
        <f t="shared" si="51"/>
        <v/>
      </c>
      <c r="W304" s="30" t="str">
        <f t="shared" si="52"/>
        <v/>
      </c>
      <c r="X304" s="33" t="str">
        <f t="shared" si="53"/>
        <v/>
      </c>
      <c r="Y304" s="34" t="str">
        <f t="shared" si="54"/>
        <v/>
      </c>
    </row>
    <row r="305" spans="1:25" x14ac:dyDescent="0.2">
      <c r="A305" s="35"/>
      <c r="B305" s="21"/>
      <c r="C305" s="18"/>
      <c r="D305" s="21"/>
      <c r="E305" s="21"/>
      <c r="F305" s="21"/>
      <c r="G305" s="36"/>
      <c r="H305" s="36"/>
      <c r="I305" s="36"/>
      <c r="J305" s="37"/>
      <c r="K305" s="18"/>
      <c r="L305" s="28" t="str">
        <f t="shared" si="44"/>
        <v/>
      </c>
      <c r="M305" s="29" t="str">
        <f t="shared" si="45"/>
        <v/>
      </c>
      <c r="N305" s="29" t="str">
        <f t="shared" si="46"/>
        <v/>
      </c>
      <c r="O305" s="30" t="str">
        <f t="shared" si="47"/>
        <v/>
      </c>
      <c r="P305" s="28" t="str">
        <f>IF($C305="","",IFERROR(INDEX(CA_TG,MATCH(B305,DS_CA,0))-INDEX(CA_NGHI,MATCH(B305,DS_CA,0))-SUMIFS('3 Nhật ký dừng máy'!$I$6:$I$1005,'3 Nhật ký dừng máy'!$A$6:$A$1005,$A305,'3 Nhật ký dừng máy'!$B$6:$B$1005,$B305,'3 Nhật ký dừng máy'!$C$6:$C$1005,$C305,'3 Nhật ký dừng máy'!$K$6:$K$1005,"Có kế hoạch"),"?"))</f>
        <v/>
      </c>
      <c r="Q305" s="28" t="str">
        <f>IF($C305="","",SUMIFS('3 Nhật ký dừng máy'!$I$6:$I$1005,'3 Nhật ký dừng máy'!$A$6:$A$1005,$A305,'3 Nhật ký dừng máy'!$B$6:$B$1005,$B305,'3 Nhật ký dừng máy'!$C$6:$C$1005,$C305,'3 Nhật ký dừng máy'!$K$6:$K$1005,"Ngoài kế hoạch"))</f>
        <v/>
      </c>
      <c r="R305" s="30" t="str">
        <f>IF($C305="","",COUNTIFS('3 Nhật ký dừng máy'!$A$6:$A$1005,$A305,'3 Nhật ký dừng máy'!$B$6:$B$1005,$B305,'3 Nhật ký dừng máy'!$C$6:$C$1005,$C305,'3 Nhật ký dừng máy'!$K$6:$K$1005,"Ngoài kế hoạch"))</f>
        <v/>
      </c>
      <c r="S305" s="31" t="str">
        <f t="shared" si="48"/>
        <v/>
      </c>
      <c r="T305" s="31" t="str">
        <f t="shared" si="49"/>
        <v/>
      </c>
      <c r="U305" s="31" t="str">
        <f t="shared" si="50"/>
        <v/>
      </c>
      <c r="V305" s="32" t="str">
        <f t="shared" si="51"/>
        <v/>
      </c>
      <c r="W305" s="30" t="str">
        <f t="shared" si="52"/>
        <v/>
      </c>
      <c r="X305" s="33" t="str">
        <f t="shared" si="53"/>
        <v/>
      </c>
      <c r="Y305" s="34" t="str">
        <f t="shared" si="54"/>
        <v/>
      </c>
    </row>
    <row r="306" spans="1:25" x14ac:dyDescent="0.2">
      <c r="A306" s="35"/>
      <c r="B306" s="21"/>
      <c r="C306" s="18"/>
      <c r="D306" s="21"/>
      <c r="E306" s="21"/>
      <c r="F306" s="21"/>
      <c r="G306" s="36"/>
      <c r="H306" s="36"/>
      <c r="I306" s="36"/>
      <c r="J306" s="37"/>
      <c r="K306" s="18"/>
      <c r="L306" s="28" t="str">
        <f t="shared" si="44"/>
        <v/>
      </c>
      <c r="M306" s="29" t="str">
        <f t="shared" si="45"/>
        <v/>
      </c>
      <c r="N306" s="29" t="str">
        <f t="shared" si="46"/>
        <v/>
      </c>
      <c r="O306" s="30" t="str">
        <f t="shared" si="47"/>
        <v/>
      </c>
      <c r="P306" s="28" t="str">
        <f>IF($C306="","",IFERROR(INDEX(CA_TG,MATCH(B306,DS_CA,0))-INDEX(CA_NGHI,MATCH(B306,DS_CA,0))-SUMIFS('3 Nhật ký dừng máy'!$I$6:$I$1005,'3 Nhật ký dừng máy'!$A$6:$A$1005,$A306,'3 Nhật ký dừng máy'!$B$6:$B$1005,$B306,'3 Nhật ký dừng máy'!$C$6:$C$1005,$C306,'3 Nhật ký dừng máy'!$K$6:$K$1005,"Có kế hoạch"),"?"))</f>
        <v/>
      </c>
      <c r="Q306" s="28" t="str">
        <f>IF($C306="","",SUMIFS('3 Nhật ký dừng máy'!$I$6:$I$1005,'3 Nhật ký dừng máy'!$A$6:$A$1005,$A306,'3 Nhật ký dừng máy'!$B$6:$B$1005,$B306,'3 Nhật ký dừng máy'!$C$6:$C$1005,$C306,'3 Nhật ký dừng máy'!$K$6:$K$1005,"Ngoài kế hoạch"))</f>
        <v/>
      </c>
      <c r="R306" s="30" t="str">
        <f>IF($C306="","",COUNTIFS('3 Nhật ký dừng máy'!$A$6:$A$1005,$A306,'3 Nhật ký dừng máy'!$B$6:$B$1005,$B306,'3 Nhật ký dừng máy'!$C$6:$C$1005,$C306,'3 Nhật ký dừng máy'!$K$6:$K$1005,"Ngoài kế hoạch"))</f>
        <v/>
      </c>
      <c r="S306" s="31" t="str">
        <f t="shared" si="48"/>
        <v/>
      </c>
      <c r="T306" s="31" t="str">
        <f t="shared" si="49"/>
        <v/>
      </c>
      <c r="U306" s="31" t="str">
        <f t="shared" si="50"/>
        <v/>
      </c>
      <c r="V306" s="32" t="str">
        <f t="shared" si="51"/>
        <v/>
      </c>
      <c r="W306" s="30" t="str">
        <f t="shared" si="52"/>
        <v/>
      </c>
      <c r="X306" s="33" t="str">
        <f t="shared" si="53"/>
        <v/>
      </c>
      <c r="Y306" s="34" t="str">
        <f t="shared" si="54"/>
        <v/>
      </c>
    </row>
    <row r="307" spans="1:25" x14ac:dyDescent="0.2">
      <c r="A307" s="35"/>
      <c r="B307" s="21"/>
      <c r="C307" s="18"/>
      <c r="D307" s="21"/>
      <c r="E307" s="21"/>
      <c r="F307" s="21"/>
      <c r="G307" s="36"/>
      <c r="H307" s="36"/>
      <c r="I307" s="36"/>
      <c r="J307" s="37"/>
      <c r="K307" s="18"/>
      <c r="L307" s="28" t="str">
        <f t="shared" si="44"/>
        <v/>
      </c>
      <c r="M307" s="29" t="str">
        <f t="shared" si="45"/>
        <v/>
      </c>
      <c r="N307" s="29" t="str">
        <f t="shared" si="46"/>
        <v/>
      </c>
      <c r="O307" s="30" t="str">
        <f t="shared" si="47"/>
        <v/>
      </c>
      <c r="P307" s="28" t="str">
        <f>IF($C307="","",IFERROR(INDEX(CA_TG,MATCH(B307,DS_CA,0))-INDEX(CA_NGHI,MATCH(B307,DS_CA,0))-SUMIFS('3 Nhật ký dừng máy'!$I$6:$I$1005,'3 Nhật ký dừng máy'!$A$6:$A$1005,$A307,'3 Nhật ký dừng máy'!$B$6:$B$1005,$B307,'3 Nhật ký dừng máy'!$C$6:$C$1005,$C307,'3 Nhật ký dừng máy'!$K$6:$K$1005,"Có kế hoạch"),"?"))</f>
        <v/>
      </c>
      <c r="Q307" s="28" t="str">
        <f>IF($C307="","",SUMIFS('3 Nhật ký dừng máy'!$I$6:$I$1005,'3 Nhật ký dừng máy'!$A$6:$A$1005,$A307,'3 Nhật ký dừng máy'!$B$6:$B$1005,$B307,'3 Nhật ký dừng máy'!$C$6:$C$1005,$C307,'3 Nhật ký dừng máy'!$K$6:$K$1005,"Ngoài kế hoạch"))</f>
        <v/>
      </c>
      <c r="R307" s="30" t="str">
        <f>IF($C307="","",COUNTIFS('3 Nhật ký dừng máy'!$A$6:$A$1005,$A307,'3 Nhật ký dừng máy'!$B$6:$B$1005,$B307,'3 Nhật ký dừng máy'!$C$6:$C$1005,$C307,'3 Nhật ký dừng máy'!$K$6:$K$1005,"Ngoài kế hoạch"))</f>
        <v/>
      </c>
      <c r="S307" s="31" t="str">
        <f t="shared" si="48"/>
        <v/>
      </c>
      <c r="T307" s="31" t="str">
        <f t="shared" si="49"/>
        <v/>
      </c>
      <c r="U307" s="31" t="str">
        <f t="shared" si="50"/>
        <v/>
      </c>
      <c r="V307" s="32" t="str">
        <f t="shared" si="51"/>
        <v/>
      </c>
      <c r="W307" s="30" t="str">
        <f t="shared" si="52"/>
        <v/>
      </c>
      <c r="X307" s="33" t="str">
        <f t="shared" si="53"/>
        <v/>
      </c>
      <c r="Y307" s="34" t="str">
        <f t="shared" si="54"/>
        <v/>
      </c>
    </row>
    <row r="308" spans="1:25" x14ac:dyDescent="0.2">
      <c r="A308" s="35"/>
      <c r="B308" s="21"/>
      <c r="C308" s="18"/>
      <c r="D308" s="21"/>
      <c r="E308" s="21"/>
      <c r="F308" s="21"/>
      <c r="G308" s="36"/>
      <c r="H308" s="36"/>
      <c r="I308" s="36"/>
      <c r="J308" s="37"/>
      <c r="K308" s="18"/>
      <c r="L308" s="28" t="str">
        <f t="shared" si="44"/>
        <v/>
      </c>
      <c r="M308" s="29" t="str">
        <f t="shared" si="45"/>
        <v/>
      </c>
      <c r="N308" s="29" t="str">
        <f t="shared" si="46"/>
        <v/>
      </c>
      <c r="O308" s="30" t="str">
        <f t="shared" si="47"/>
        <v/>
      </c>
      <c r="P308" s="28" t="str">
        <f>IF($C308="","",IFERROR(INDEX(CA_TG,MATCH(B308,DS_CA,0))-INDEX(CA_NGHI,MATCH(B308,DS_CA,0))-SUMIFS('3 Nhật ký dừng máy'!$I$6:$I$1005,'3 Nhật ký dừng máy'!$A$6:$A$1005,$A308,'3 Nhật ký dừng máy'!$B$6:$B$1005,$B308,'3 Nhật ký dừng máy'!$C$6:$C$1005,$C308,'3 Nhật ký dừng máy'!$K$6:$K$1005,"Có kế hoạch"),"?"))</f>
        <v/>
      </c>
      <c r="Q308" s="28" t="str">
        <f>IF($C308="","",SUMIFS('3 Nhật ký dừng máy'!$I$6:$I$1005,'3 Nhật ký dừng máy'!$A$6:$A$1005,$A308,'3 Nhật ký dừng máy'!$B$6:$B$1005,$B308,'3 Nhật ký dừng máy'!$C$6:$C$1005,$C308,'3 Nhật ký dừng máy'!$K$6:$K$1005,"Ngoài kế hoạch"))</f>
        <v/>
      </c>
      <c r="R308" s="30" t="str">
        <f>IF($C308="","",COUNTIFS('3 Nhật ký dừng máy'!$A$6:$A$1005,$A308,'3 Nhật ký dừng máy'!$B$6:$B$1005,$B308,'3 Nhật ký dừng máy'!$C$6:$C$1005,$C308,'3 Nhật ký dừng máy'!$K$6:$K$1005,"Ngoài kế hoạch"))</f>
        <v/>
      </c>
      <c r="S308" s="31" t="str">
        <f t="shared" si="48"/>
        <v/>
      </c>
      <c r="T308" s="31" t="str">
        <f t="shared" si="49"/>
        <v/>
      </c>
      <c r="U308" s="31" t="str">
        <f t="shared" si="50"/>
        <v/>
      </c>
      <c r="V308" s="32" t="str">
        <f t="shared" si="51"/>
        <v/>
      </c>
      <c r="W308" s="30" t="str">
        <f t="shared" si="52"/>
        <v/>
      </c>
      <c r="X308" s="33" t="str">
        <f t="shared" si="53"/>
        <v/>
      </c>
      <c r="Y308" s="34" t="str">
        <f t="shared" si="54"/>
        <v/>
      </c>
    </row>
    <row r="309" spans="1:25" x14ac:dyDescent="0.2">
      <c r="A309" s="35"/>
      <c r="B309" s="21"/>
      <c r="C309" s="18"/>
      <c r="D309" s="21"/>
      <c r="E309" s="21"/>
      <c r="F309" s="21"/>
      <c r="G309" s="36"/>
      <c r="H309" s="36"/>
      <c r="I309" s="36"/>
      <c r="J309" s="37"/>
      <c r="K309" s="18"/>
      <c r="L309" s="28" t="str">
        <f t="shared" si="44"/>
        <v/>
      </c>
      <c r="M309" s="29" t="str">
        <f t="shared" si="45"/>
        <v/>
      </c>
      <c r="N309" s="29" t="str">
        <f t="shared" si="46"/>
        <v/>
      </c>
      <c r="O309" s="30" t="str">
        <f t="shared" si="47"/>
        <v/>
      </c>
      <c r="P309" s="28" t="str">
        <f>IF($C309="","",IFERROR(INDEX(CA_TG,MATCH(B309,DS_CA,0))-INDEX(CA_NGHI,MATCH(B309,DS_CA,0))-SUMIFS('3 Nhật ký dừng máy'!$I$6:$I$1005,'3 Nhật ký dừng máy'!$A$6:$A$1005,$A309,'3 Nhật ký dừng máy'!$B$6:$B$1005,$B309,'3 Nhật ký dừng máy'!$C$6:$C$1005,$C309,'3 Nhật ký dừng máy'!$K$6:$K$1005,"Có kế hoạch"),"?"))</f>
        <v/>
      </c>
      <c r="Q309" s="28" t="str">
        <f>IF($C309="","",SUMIFS('3 Nhật ký dừng máy'!$I$6:$I$1005,'3 Nhật ký dừng máy'!$A$6:$A$1005,$A309,'3 Nhật ký dừng máy'!$B$6:$B$1005,$B309,'3 Nhật ký dừng máy'!$C$6:$C$1005,$C309,'3 Nhật ký dừng máy'!$K$6:$K$1005,"Ngoài kế hoạch"))</f>
        <v/>
      </c>
      <c r="R309" s="30" t="str">
        <f>IF($C309="","",COUNTIFS('3 Nhật ký dừng máy'!$A$6:$A$1005,$A309,'3 Nhật ký dừng máy'!$B$6:$B$1005,$B309,'3 Nhật ký dừng máy'!$C$6:$C$1005,$C309,'3 Nhật ký dừng máy'!$K$6:$K$1005,"Ngoài kế hoạch"))</f>
        <v/>
      </c>
      <c r="S309" s="31" t="str">
        <f t="shared" si="48"/>
        <v/>
      </c>
      <c r="T309" s="31" t="str">
        <f t="shared" si="49"/>
        <v/>
      </c>
      <c r="U309" s="31" t="str">
        <f t="shared" si="50"/>
        <v/>
      </c>
      <c r="V309" s="32" t="str">
        <f t="shared" si="51"/>
        <v/>
      </c>
      <c r="W309" s="30" t="str">
        <f t="shared" si="52"/>
        <v/>
      </c>
      <c r="X309" s="33" t="str">
        <f t="shared" si="53"/>
        <v/>
      </c>
      <c r="Y309" s="34" t="str">
        <f t="shared" si="54"/>
        <v/>
      </c>
    </row>
    <row r="310" spans="1:25" x14ac:dyDescent="0.2">
      <c r="A310" s="35"/>
      <c r="B310" s="21"/>
      <c r="C310" s="18"/>
      <c r="D310" s="21"/>
      <c r="E310" s="21"/>
      <c r="F310" s="21"/>
      <c r="G310" s="36"/>
      <c r="H310" s="36"/>
      <c r="I310" s="36"/>
      <c r="J310" s="37"/>
      <c r="K310" s="18"/>
      <c r="L310" s="28" t="str">
        <f t="shared" si="44"/>
        <v/>
      </c>
      <c r="M310" s="29" t="str">
        <f t="shared" si="45"/>
        <v/>
      </c>
      <c r="N310" s="29" t="str">
        <f t="shared" si="46"/>
        <v/>
      </c>
      <c r="O310" s="30" t="str">
        <f t="shared" si="47"/>
        <v/>
      </c>
      <c r="P310" s="28" t="str">
        <f>IF($C310="","",IFERROR(INDEX(CA_TG,MATCH(B310,DS_CA,0))-INDEX(CA_NGHI,MATCH(B310,DS_CA,0))-SUMIFS('3 Nhật ký dừng máy'!$I$6:$I$1005,'3 Nhật ký dừng máy'!$A$6:$A$1005,$A310,'3 Nhật ký dừng máy'!$B$6:$B$1005,$B310,'3 Nhật ký dừng máy'!$C$6:$C$1005,$C310,'3 Nhật ký dừng máy'!$K$6:$K$1005,"Có kế hoạch"),"?"))</f>
        <v/>
      </c>
      <c r="Q310" s="28" t="str">
        <f>IF($C310="","",SUMIFS('3 Nhật ký dừng máy'!$I$6:$I$1005,'3 Nhật ký dừng máy'!$A$6:$A$1005,$A310,'3 Nhật ký dừng máy'!$B$6:$B$1005,$B310,'3 Nhật ký dừng máy'!$C$6:$C$1005,$C310,'3 Nhật ký dừng máy'!$K$6:$K$1005,"Ngoài kế hoạch"))</f>
        <v/>
      </c>
      <c r="R310" s="30" t="str">
        <f>IF($C310="","",COUNTIFS('3 Nhật ký dừng máy'!$A$6:$A$1005,$A310,'3 Nhật ký dừng máy'!$B$6:$B$1005,$B310,'3 Nhật ký dừng máy'!$C$6:$C$1005,$C310,'3 Nhật ký dừng máy'!$K$6:$K$1005,"Ngoài kế hoạch"))</f>
        <v/>
      </c>
      <c r="S310" s="31" t="str">
        <f t="shared" si="48"/>
        <v/>
      </c>
      <c r="T310" s="31" t="str">
        <f t="shared" si="49"/>
        <v/>
      </c>
      <c r="U310" s="31" t="str">
        <f t="shared" si="50"/>
        <v/>
      </c>
      <c r="V310" s="32" t="str">
        <f t="shared" si="51"/>
        <v/>
      </c>
      <c r="W310" s="30" t="str">
        <f t="shared" si="52"/>
        <v/>
      </c>
      <c r="X310" s="33" t="str">
        <f t="shared" si="53"/>
        <v/>
      </c>
      <c r="Y310" s="34" t="str">
        <f t="shared" si="54"/>
        <v/>
      </c>
    </row>
    <row r="311" spans="1:25" x14ac:dyDescent="0.2">
      <c r="A311" s="35"/>
      <c r="B311" s="21"/>
      <c r="C311" s="18"/>
      <c r="D311" s="21"/>
      <c r="E311" s="21"/>
      <c r="F311" s="21"/>
      <c r="G311" s="36"/>
      <c r="H311" s="36"/>
      <c r="I311" s="36"/>
      <c r="J311" s="37"/>
      <c r="K311" s="18"/>
      <c r="L311" s="28" t="str">
        <f t="shared" si="44"/>
        <v/>
      </c>
      <c r="M311" s="29" t="str">
        <f t="shared" si="45"/>
        <v/>
      </c>
      <c r="N311" s="29" t="str">
        <f t="shared" si="46"/>
        <v/>
      </c>
      <c r="O311" s="30" t="str">
        <f t="shared" si="47"/>
        <v/>
      </c>
      <c r="P311" s="28" t="str">
        <f>IF($C311="","",IFERROR(INDEX(CA_TG,MATCH(B311,DS_CA,0))-INDEX(CA_NGHI,MATCH(B311,DS_CA,0))-SUMIFS('3 Nhật ký dừng máy'!$I$6:$I$1005,'3 Nhật ký dừng máy'!$A$6:$A$1005,$A311,'3 Nhật ký dừng máy'!$B$6:$B$1005,$B311,'3 Nhật ký dừng máy'!$C$6:$C$1005,$C311,'3 Nhật ký dừng máy'!$K$6:$K$1005,"Có kế hoạch"),"?"))</f>
        <v/>
      </c>
      <c r="Q311" s="28" t="str">
        <f>IF($C311="","",SUMIFS('3 Nhật ký dừng máy'!$I$6:$I$1005,'3 Nhật ký dừng máy'!$A$6:$A$1005,$A311,'3 Nhật ký dừng máy'!$B$6:$B$1005,$B311,'3 Nhật ký dừng máy'!$C$6:$C$1005,$C311,'3 Nhật ký dừng máy'!$K$6:$K$1005,"Ngoài kế hoạch"))</f>
        <v/>
      </c>
      <c r="R311" s="30" t="str">
        <f>IF($C311="","",COUNTIFS('3 Nhật ký dừng máy'!$A$6:$A$1005,$A311,'3 Nhật ký dừng máy'!$B$6:$B$1005,$B311,'3 Nhật ký dừng máy'!$C$6:$C$1005,$C311,'3 Nhật ký dừng máy'!$K$6:$K$1005,"Ngoài kế hoạch"))</f>
        <v/>
      </c>
      <c r="S311" s="31" t="str">
        <f t="shared" si="48"/>
        <v/>
      </c>
      <c r="T311" s="31" t="str">
        <f t="shared" si="49"/>
        <v/>
      </c>
      <c r="U311" s="31" t="str">
        <f t="shared" si="50"/>
        <v/>
      </c>
      <c r="V311" s="32" t="str">
        <f t="shared" si="51"/>
        <v/>
      </c>
      <c r="W311" s="30" t="str">
        <f t="shared" si="52"/>
        <v/>
      </c>
      <c r="X311" s="33" t="str">
        <f t="shared" si="53"/>
        <v/>
      </c>
      <c r="Y311" s="34" t="str">
        <f t="shared" si="54"/>
        <v/>
      </c>
    </row>
    <row r="312" spans="1:25" x14ac:dyDescent="0.2">
      <c r="A312" s="35"/>
      <c r="B312" s="21"/>
      <c r="C312" s="18"/>
      <c r="D312" s="21"/>
      <c r="E312" s="21"/>
      <c r="F312" s="21"/>
      <c r="G312" s="36"/>
      <c r="H312" s="36"/>
      <c r="I312" s="36"/>
      <c r="J312" s="37"/>
      <c r="K312" s="18"/>
      <c r="L312" s="28" t="str">
        <f t="shared" si="44"/>
        <v/>
      </c>
      <c r="M312" s="29" t="str">
        <f t="shared" si="45"/>
        <v/>
      </c>
      <c r="N312" s="29" t="str">
        <f t="shared" si="46"/>
        <v/>
      </c>
      <c r="O312" s="30" t="str">
        <f t="shared" si="47"/>
        <v/>
      </c>
      <c r="P312" s="28" t="str">
        <f>IF($C312="","",IFERROR(INDEX(CA_TG,MATCH(B312,DS_CA,0))-INDEX(CA_NGHI,MATCH(B312,DS_CA,0))-SUMIFS('3 Nhật ký dừng máy'!$I$6:$I$1005,'3 Nhật ký dừng máy'!$A$6:$A$1005,$A312,'3 Nhật ký dừng máy'!$B$6:$B$1005,$B312,'3 Nhật ký dừng máy'!$C$6:$C$1005,$C312,'3 Nhật ký dừng máy'!$K$6:$K$1005,"Có kế hoạch"),"?"))</f>
        <v/>
      </c>
      <c r="Q312" s="28" t="str">
        <f>IF($C312="","",SUMIFS('3 Nhật ký dừng máy'!$I$6:$I$1005,'3 Nhật ký dừng máy'!$A$6:$A$1005,$A312,'3 Nhật ký dừng máy'!$B$6:$B$1005,$B312,'3 Nhật ký dừng máy'!$C$6:$C$1005,$C312,'3 Nhật ký dừng máy'!$K$6:$K$1005,"Ngoài kế hoạch"))</f>
        <v/>
      </c>
      <c r="R312" s="30" t="str">
        <f>IF($C312="","",COUNTIFS('3 Nhật ký dừng máy'!$A$6:$A$1005,$A312,'3 Nhật ký dừng máy'!$B$6:$B$1005,$B312,'3 Nhật ký dừng máy'!$C$6:$C$1005,$C312,'3 Nhật ký dừng máy'!$K$6:$K$1005,"Ngoài kế hoạch"))</f>
        <v/>
      </c>
      <c r="S312" s="31" t="str">
        <f t="shared" si="48"/>
        <v/>
      </c>
      <c r="T312" s="31" t="str">
        <f t="shared" si="49"/>
        <v/>
      </c>
      <c r="U312" s="31" t="str">
        <f t="shared" si="50"/>
        <v/>
      </c>
      <c r="V312" s="32" t="str">
        <f t="shared" si="51"/>
        <v/>
      </c>
      <c r="W312" s="30" t="str">
        <f t="shared" si="52"/>
        <v/>
      </c>
      <c r="X312" s="33" t="str">
        <f t="shared" si="53"/>
        <v/>
      </c>
      <c r="Y312" s="34" t="str">
        <f t="shared" si="54"/>
        <v/>
      </c>
    </row>
    <row r="313" spans="1:25" x14ac:dyDescent="0.2">
      <c r="A313" s="35"/>
      <c r="B313" s="21"/>
      <c r="C313" s="18"/>
      <c r="D313" s="21"/>
      <c r="E313" s="21"/>
      <c r="F313" s="21"/>
      <c r="G313" s="36"/>
      <c r="H313" s="36"/>
      <c r="I313" s="36"/>
      <c r="J313" s="37"/>
      <c r="K313" s="18"/>
      <c r="L313" s="28" t="str">
        <f t="shared" si="44"/>
        <v/>
      </c>
      <c r="M313" s="29" t="str">
        <f t="shared" si="45"/>
        <v/>
      </c>
      <c r="N313" s="29" t="str">
        <f t="shared" si="46"/>
        <v/>
      </c>
      <c r="O313" s="30" t="str">
        <f t="shared" si="47"/>
        <v/>
      </c>
      <c r="P313" s="28" t="str">
        <f>IF($C313="","",IFERROR(INDEX(CA_TG,MATCH(B313,DS_CA,0))-INDEX(CA_NGHI,MATCH(B313,DS_CA,0))-SUMIFS('3 Nhật ký dừng máy'!$I$6:$I$1005,'3 Nhật ký dừng máy'!$A$6:$A$1005,$A313,'3 Nhật ký dừng máy'!$B$6:$B$1005,$B313,'3 Nhật ký dừng máy'!$C$6:$C$1005,$C313,'3 Nhật ký dừng máy'!$K$6:$K$1005,"Có kế hoạch"),"?"))</f>
        <v/>
      </c>
      <c r="Q313" s="28" t="str">
        <f>IF($C313="","",SUMIFS('3 Nhật ký dừng máy'!$I$6:$I$1005,'3 Nhật ký dừng máy'!$A$6:$A$1005,$A313,'3 Nhật ký dừng máy'!$B$6:$B$1005,$B313,'3 Nhật ký dừng máy'!$C$6:$C$1005,$C313,'3 Nhật ký dừng máy'!$K$6:$K$1005,"Ngoài kế hoạch"))</f>
        <v/>
      </c>
      <c r="R313" s="30" t="str">
        <f>IF($C313="","",COUNTIFS('3 Nhật ký dừng máy'!$A$6:$A$1005,$A313,'3 Nhật ký dừng máy'!$B$6:$B$1005,$B313,'3 Nhật ký dừng máy'!$C$6:$C$1005,$C313,'3 Nhật ký dừng máy'!$K$6:$K$1005,"Ngoài kế hoạch"))</f>
        <v/>
      </c>
      <c r="S313" s="31" t="str">
        <f t="shared" si="48"/>
        <v/>
      </c>
      <c r="T313" s="31" t="str">
        <f t="shared" si="49"/>
        <v/>
      </c>
      <c r="U313" s="31" t="str">
        <f t="shared" si="50"/>
        <v/>
      </c>
      <c r="V313" s="32" t="str">
        <f t="shared" si="51"/>
        <v/>
      </c>
      <c r="W313" s="30" t="str">
        <f t="shared" si="52"/>
        <v/>
      </c>
      <c r="X313" s="33" t="str">
        <f t="shared" si="53"/>
        <v/>
      </c>
      <c r="Y313" s="34" t="str">
        <f t="shared" si="54"/>
        <v/>
      </c>
    </row>
    <row r="314" spans="1:25" x14ac:dyDescent="0.2">
      <c r="A314" s="35"/>
      <c r="B314" s="21"/>
      <c r="C314" s="18"/>
      <c r="D314" s="21"/>
      <c r="E314" s="21"/>
      <c r="F314" s="21"/>
      <c r="G314" s="36"/>
      <c r="H314" s="36"/>
      <c r="I314" s="36"/>
      <c r="J314" s="37"/>
      <c r="K314" s="18"/>
      <c r="L314" s="28" t="str">
        <f t="shared" si="44"/>
        <v/>
      </c>
      <c r="M314" s="29" t="str">
        <f t="shared" si="45"/>
        <v/>
      </c>
      <c r="N314" s="29" t="str">
        <f t="shared" si="46"/>
        <v/>
      </c>
      <c r="O314" s="30" t="str">
        <f t="shared" si="47"/>
        <v/>
      </c>
      <c r="P314" s="28" t="str">
        <f>IF($C314="","",IFERROR(INDEX(CA_TG,MATCH(B314,DS_CA,0))-INDEX(CA_NGHI,MATCH(B314,DS_CA,0))-SUMIFS('3 Nhật ký dừng máy'!$I$6:$I$1005,'3 Nhật ký dừng máy'!$A$6:$A$1005,$A314,'3 Nhật ký dừng máy'!$B$6:$B$1005,$B314,'3 Nhật ký dừng máy'!$C$6:$C$1005,$C314,'3 Nhật ký dừng máy'!$K$6:$K$1005,"Có kế hoạch"),"?"))</f>
        <v/>
      </c>
      <c r="Q314" s="28" t="str">
        <f>IF($C314="","",SUMIFS('3 Nhật ký dừng máy'!$I$6:$I$1005,'3 Nhật ký dừng máy'!$A$6:$A$1005,$A314,'3 Nhật ký dừng máy'!$B$6:$B$1005,$B314,'3 Nhật ký dừng máy'!$C$6:$C$1005,$C314,'3 Nhật ký dừng máy'!$K$6:$K$1005,"Ngoài kế hoạch"))</f>
        <v/>
      </c>
      <c r="R314" s="30" t="str">
        <f>IF($C314="","",COUNTIFS('3 Nhật ký dừng máy'!$A$6:$A$1005,$A314,'3 Nhật ký dừng máy'!$B$6:$B$1005,$B314,'3 Nhật ký dừng máy'!$C$6:$C$1005,$C314,'3 Nhật ký dừng máy'!$K$6:$K$1005,"Ngoài kế hoạch"))</f>
        <v/>
      </c>
      <c r="S314" s="31" t="str">
        <f t="shared" si="48"/>
        <v/>
      </c>
      <c r="T314" s="31" t="str">
        <f t="shared" si="49"/>
        <v/>
      </c>
      <c r="U314" s="31" t="str">
        <f t="shared" si="50"/>
        <v/>
      </c>
      <c r="V314" s="32" t="str">
        <f t="shared" si="51"/>
        <v/>
      </c>
      <c r="W314" s="30" t="str">
        <f t="shared" si="52"/>
        <v/>
      </c>
      <c r="X314" s="33" t="str">
        <f t="shared" si="53"/>
        <v/>
      </c>
      <c r="Y314" s="34" t="str">
        <f t="shared" si="54"/>
        <v/>
      </c>
    </row>
    <row r="315" spans="1:25" x14ac:dyDescent="0.2">
      <c r="A315" s="35"/>
      <c r="B315" s="21"/>
      <c r="C315" s="18"/>
      <c r="D315" s="21"/>
      <c r="E315" s="21"/>
      <c r="F315" s="21"/>
      <c r="G315" s="36"/>
      <c r="H315" s="36"/>
      <c r="I315" s="36"/>
      <c r="J315" s="37"/>
      <c r="K315" s="18"/>
      <c r="L315" s="28" t="str">
        <f t="shared" si="44"/>
        <v/>
      </c>
      <c r="M315" s="29" t="str">
        <f t="shared" si="45"/>
        <v/>
      </c>
      <c r="N315" s="29" t="str">
        <f t="shared" si="46"/>
        <v/>
      </c>
      <c r="O315" s="30" t="str">
        <f t="shared" si="47"/>
        <v/>
      </c>
      <c r="P315" s="28" t="str">
        <f>IF($C315="","",IFERROR(INDEX(CA_TG,MATCH(B315,DS_CA,0))-INDEX(CA_NGHI,MATCH(B315,DS_CA,0))-SUMIFS('3 Nhật ký dừng máy'!$I$6:$I$1005,'3 Nhật ký dừng máy'!$A$6:$A$1005,$A315,'3 Nhật ký dừng máy'!$B$6:$B$1005,$B315,'3 Nhật ký dừng máy'!$C$6:$C$1005,$C315,'3 Nhật ký dừng máy'!$K$6:$K$1005,"Có kế hoạch"),"?"))</f>
        <v/>
      </c>
      <c r="Q315" s="28" t="str">
        <f>IF($C315="","",SUMIFS('3 Nhật ký dừng máy'!$I$6:$I$1005,'3 Nhật ký dừng máy'!$A$6:$A$1005,$A315,'3 Nhật ký dừng máy'!$B$6:$B$1005,$B315,'3 Nhật ký dừng máy'!$C$6:$C$1005,$C315,'3 Nhật ký dừng máy'!$K$6:$K$1005,"Ngoài kế hoạch"))</f>
        <v/>
      </c>
      <c r="R315" s="30" t="str">
        <f>IF($C315="","",COUNTIFS('3 Nhật ký dừng máy'!$A$6:$A$1005,$A315,'3 Nhật ký dừng máy'!$B$6:$B$1005,$B315,'3 Nhật ký dừng máy'!$C$6:$C$1005,$C315,'3 Nhật ký dừng máy'!$K$6:$K$1005,"Ngoài kế hoạch"))</f>
        <v/>
      </c>
      <c r="S315" s="31" t="str">
        <f t="shared" si="48"/>
        <v/>
      </c>
      <c r="T315" s="31" t="str">
        <f t="shared" si="49"/>
        <v/>
      </c>
      <c r="U315" s="31" t="str">
        <f t="shared" si="50"/>
        <v/>
      </c>
      <c r="V315" s="32" t="str">
        <f t="shared" si="51"/>
        <v/>
      </c>
      <c r="W315" s="30" t="str">
        <f t="shared" si="52"/>
        <v/>
      </c>
      <c r="X315" s="33" t="str">
        <f t="shared" si="53"/>
        <v/>
      </c>
      <c r="Y315" s="34" t="str">
        <f t="shared" si="54"/>
        <v/>
      </c>
    </row>
    <row r="316" spans="1:25" x14ac:dyDescent="0.2">
      <c r="A316" s="35"/>
      <c r="B316" s="21"/>
      <c r="C316" s="18"/>
      <c r="D316" s="21"/>
      <c r="E316" s="21"/>
      <c r="F316" s="21"/>
      <c r="G316" s="36"/>
      <c r="H316" s="36"/>
      <c r="I316" s="36"/>
      <c r="J316" s="37"/>
      <c r="K316" s="18"/>
      <c r="L316" s="28" t="str">
        <f t="shared" si="44"/>
        <v/>
      </c>
      <c r="M316" s="29" t="str">
        <f t="shared" si="45"/>
        <v/>
      </c>
      <c r="N316" s="29" t="str">
        <f t="shared" si="46"/>
        <v/>
      </c>
      <c r="O316" s="30" t="str">
        <f t="shared" si="47"/>
        <v/>
      </c>
      <c r="P316" s="28" t="str">
        <f>IF($C316="","",IFERROR(INDEX(CA_TG,MATCH(B316,DS_CA,0))-INDEX(CA_NGHI,MATCH(B316,DS_CA,0))-SUMIFS('3 Nhật ký dừng máy'!$I$6:$I$1005,'3 Nhật ký dừng máy'!$A$6:$A$1005,$A316,'3 Nhật ký dừng máy'!$B$6:$B$1005,$B316,'3 Nhật ký dừng máy'!$C$6:$C$1005,$C316,'3 Nhật ký dừng máy'!$K$6:$K$1005,"Có kế hoạch"),"?"))</f>
        <v/>
      </c>
      <c r="Q316" s="28" t="str">
        <f>IF($C316="","",SUMIFS('3 Nhật ký dừng máy'!$I$6:$I$1005,'3 Nhật ký dừng máy'!$A$6:$A$1005,$A316,'3 Nhật ký dừng máy'!$B$6:$B$1005,$B316,'3 Nhật ký dừng máy'!$C$6:$C$1005,$C316,'3 Nhật ký dừng máy'!$K$6:$K$1005,"Ngoài kế hoạch"))</f>
        <v/>
      </c>
      <c r="R316" s="30" t="str">
        <f>IF($C316="","",COUNTIFS('3 Nhật ký dừng máy'!$A$6:$A$1005,$A316,'3 Nhật ký dừng máy'!$B$6:$B$1005,$B316,'3 Nhật ký dừng máy'!$C$6:$C$1005,$C316,'3 Nhật ký dừng máy'!$K$6:$K$1005,"Ngoài kế hoạch"))</f>
        <v/>
      </c>
      <c r="S316" s="31" t="str">
        <f t="shared" si="48"/>
        <v/>
      </c>
      <c r="T316" s="31" t="str">
        <f t="shared" si="49"/>
        <v/>
      </c>
      <c r="U316" s="31" t="str">
        <f t="shared" si="50"/>
        <v/>
      </c>
      <c r="V316" s="32" t="str">
        <f t="shared" si="51"/>
        <v/>
      </c>
      <c r="W316" s="30" t="str">
        <f t="shared" si="52"/>
        <v/>
      </c>
      <c r="X316" s="33" t="str">
        <f t="shared" si="53"/>
        <v/>
      </c>
      <c r="Y316" s="34" t="str">
        <f t="shared" si="54"/>
        <v/>
      </c>
    </row>
    <row r="317" spans="1:25" x14ac:dyDescent="0.2">
      <c r="A317" s="35"/>
      <c r="B317" s="21"/>
      <c r="C317" s="18"/>
      <c r="D317" s="21"/>
      <c r="E317" s="21"/>
      <c r="F317" s="21"/>
      <c r="G317" s="36"/>
      <c r="H317" s="36"/>
      <c r="I317" s="36"/>
      <c r="J317" s="37"/>
      <c r="K317" s="18"/>
      <c r="L317" s="28" t="str">
        <f t="shared" si="44"/>
        <v/>
      </c>
      <c r="M317" s="29" t="str">
        <f t="shared" si="45"/>
        <v/>
      </c>
      <c r="N317" s="29" t="str">
        <f t="shared" si="46"/>
        <v/>
      </c>
      <c r="O317" s="30" t="str">
        <f t="shared" si="47"/>
        <v/>
      </c>
      <c r="P317" s="28" t="str">
        <f>IF($C317="","",IFERROR(INDEX(CA_TG,MATCH(B317,DS_CA,0))-INDEX(CA_NGHI,MATCH(B317,DS_CA,0))-SUMIFS('3 Nhật ký dừng máy'!$I$6:$I$1005,'3 Nhật ký dừng máy'!$A$6:$A$1005,$A317,'3 Nhật ký dừng máy'!$B$6:$B$1005,$B317,'3 Nhật ký dừng máy'!$C$6:$C$1005,$C317,'3 Nhật ký dừng máy'!$K$6:$K$1005,"Có kế hoạch"),"?"))</f>
        <v/>
      </c>
      <c r="Q317" s="28" t="str">
        <f>IF($C317="","",SUMIFS('3 Nhật ký dừng máy'!$I$6:$I$1005,'3 Nhật ký dừng máy'!$A$6:$A$1005,$A317,'3 Nhật ký dừng máy'!$B$6:$B$1005,$B317,'3 Nhật ký dừng máy'!$C$6:$C$1005,$C317,'3 Nhật ký dừng máy'!$K$6:$K$1005,"Ngoài kế hoạch"))</f>
        <v/>
      </c>
      <c r="R317" s="30" t="str">
        <f>IF($C317="","",COUNTIFS('3 Nhật ký dừng máy'!$A$6:$A$1005,$A317,'3 Nhật ký dừng máy'!$B$6:$B$1005,$B317,'3 Nhật ký dừng máy'!$C$6:$C$1005,$C317,'3 Nhật ký dừng máy'!$K$6:$K$1005,"Ngoài kế hoạch"))</f>
        <v/>
      </c>
      <c r="S317" s="31" t="str">
        <f t="shared" si="48"/>
        <v/>
      </c>
      <c r="T317" s="31" t="str">
        <f t="shared" si="49"/>
        <v/>
      </c>
      <c r="U317" s="31" t="str">
        <f t="shared" si="50"/>
        <v/>
      </c>
      <c r="V317" s="32" t="str">
        <f t="shared" si="51"/>
        <v/>
      </c>
      <c r="W317" s="30" t="str">
        <f t="shared" si="52"/>
        <v/>
      </c>
      <c r="X317" s="33" t="str">
        <f t="shared" si="53"/>
        <v/>
      </c>
      <c r="Y317" s="34" t="str">
        <f t="shared" si="54"/>
        <v/>
      </c>
    </row>
    <row r="318" spans="1:25" x14ac:dyDescent="0.2">
      <c r="A318" s="35"/>
      <c r="B318" s="21"/>
      <c r="C318" s="18"/>
      <c r="D318" s="21"/>
      <c r="E318" s="21"/>
      <c r="F318" s="21"/>
      <c r="G318" s="36"/>
      <c r="H318" s="36"/>
      <c r="I318" s="36"/>
      <c r="J318" s="37"/>
      <c r="K318" s="18"/>
      <c r="L318" s="28" t="str">
        <f t="shared" si="44"/>
        <v/>
      </c>
      <c r="M318" s="29" t="str">
        <f t="shared" si="45"/>
        <v/>
      </c>
      <c r="N318" s="29" t="str">
        <f t="shared" si="46"/>
        <v/>
      </c>
      <c r="O318" s="30" t="str">
        <f t="shared" si="47"/>
        <v/>
      </c>
      <c r="P318" s="28" t="str">
        <f>IF($C318="","",IFERROR(INDEX(CA_TG,MATCH(B318,DS_CA,0))-INDEX(CA_NGHI,MATCH(B318,DS_CA,0))-SUMIFS('3 Nhật ký dừng máy'!$I$6:$I$1005,'3 Nhật ký dừng máy'!$A$6:$A$1005,$A318,'3 Nhật ký dừng máy'!$B$6:$B$1005,$B318,'3 Nhật ký dừng máy'!$C$6:$C$1005,$C318,'3 Nhật ký dừng máy'!$K$6:$K$1005,"Có kế hoạch"),"?"))</f>
        <v/>
      </c>
      <c r="Q318" s="28" t="str">
        <f>IF($C318="","",SUMIFS('3 Nhật ký dừng máy'!$I$6:$I$1005,'3 Nhật ký dừng máy'!$A$6:$A$1005,$A318,'3 Nhật ký dừng máy'!$B$6:$B$1005,$B318,'3 Nhật ký dừng máy'!$C$6:$C$1005,$C318,'3 Nhật ký dừng máy'!$K$6:$K$1005,"Ngoài kế hoạch"))</f>
        <v/>
      </c>
      <c r="R318" s="30" t="str">
        <f>IF($C318="","",COUNTIFS('3 Nhật ký dừng máy'!$A$6:$A$1005,$A318,'3 Nhật ký dừng máy'!$B$6:$B$1005,$B318,'3 Nhật ký dừng máy'!$C$6:$C$1005,$C318,'3 Nhật ký dừng máy'!$K$6:$K$1005,"Ngoài kế hoạch"))</f>
        <v/>
      </c>
      <c r="S318" s="31" t="str">
        <f t="shared" si="48"/>
        <v/>
      </c>
      <c r="T318" s="31" t="str">
        <f t="shared" si="49"/>
        <v/>
      </c>
      <c r="U318" s="31" t="str">
        <f t="shared" si="50"/>
        <v/>
      </c>
      <c r="V318" s="32" t="str">
        <f t="shared" si="51"/>
        <v/>
      </c>
      <c r="W318" s="30" t="str">
        <f t="shared" si="52"/>
        <v/>
      </c>
      <c r="X318" s="33" t="str">
        <f t="shared" si="53"/>
        <v/>
      </c>
      <c r="Y318" s="34" t="str">
        <f t="shared" si="54"/>
        <v/>
      </c>
    </row>
    <row r="319" spans="1:25" x14ac:dyDescent="0.2">
      <c r="A319" s="35"/>
      <c r="B319" s="21"/>
      <c r="C319" s="18"/>
      <c r="D319" s="21"/>
      <c r="E319" s="21"/>
      <c r="F319" s="21"/>
      <c r="G319" s="36"/>
      <c r="H319" s="36"/>
      <c r="I319" s="36"/>
      <c r="J319" s="37"/>
      <c r="K319" s="18"/>
      <c r="L319" s="28" t="str">
        <f t="shared" si="44"/>
        <v/>
      </c>
      <c r="M319" s="29" t="str">
        <f t="shared" si="45"/>
        <v/>
      </c>
      <c r="N319" s="29" t="str">
        <f t="shared" si="46"/>
        <v/>
      </c>
      <c r="O319" s="30" t="str">
        <f t="shared" si="47"/>
        <v/>
      </c>
      <c r="P319" s="28" t="str">
        <f>IF($C319="","",IFERROR(INDEX(CA_TG,MATCH(B319,DS_CA,0))-INDEX(CA_NGHI,MATCH(B319,DS_CA,0))-SUMIFS('3 Nhật ký dừng máy'!$I$6:$I$1005,'3 Nhật ký dừng máy'!$A$6:$A$1005,$A319,'3 Nhật ký dừng máy'!$B$6:$B$1005,$B319,'3 Nhật ký dừng máy'!$C$6:$C$1005,$C319,'3 Nhật ký dừng máy'!$K$6:$K$1005,"Có kế hoạch"),"?"))</f>
        <v/>
      </c>
      <c r="Q319" s="28" t="str">
        <f>IF($C319="","",SUMIFS('3 Nhật ký dừng máy'!$I$6:$I$1005,'3 Nhật ký dừng máy'!$A$6:$A$1005,$A319,'3 Nhật ký dừng máy'!$B$6:$B$1005,$B319,'3 Nhật ký dừng máy'!$C$6:$C$1005,$C319,'3 Nhật ký dừng máy'!$K$6:$K$1005,"Ngoài kế hoạch"))</f>
        <v/>
      </c>
      <c r="R319" s="30" t="str">
        <f>IF($C319="","",COUNTIFS('3 Nhật ký dừng máy'!$A$6:$A$1005,$A319,'3 Nhật ký dừng máy'!$B$6:$B$1005,$B319,'3 Nhật ký dừng máy'!$C$6:$C$1005,$C319,'3 Nhật ký dừng máy'!$K$6:$K$1005,"Ngoài kế hoạch"))</f>
        <v/>
      </c>
      <c r="S319" s="31" t="str">
        <f t="shared" si="48"/>
        <v/>
      </c>
      <c r="T319" s="31" t="str">
        <f t="shared" si="49"/>
        <v/>
      </c>
      <c r="U319" s="31" t="str">
        <f t="shared" si="50"/>
        <v/>
      </c>
      <c r="V319" s="32" t="str">
        <f t="shared" si="51"/>
        <v/>
      </c>
      <c r="W319" s="30" t="str">
        <f t="shared" si="52"/>
        <v/>
      </c>
      <c r="X319" s="33" t="str">
        <f t="shared" si="53"/>
        <v/>
      </c>
      <c r="Y319" s="34" t="str">
        <f t="shared" si="54"/>
        <v/>
      </c>
    </row>
    <row r="320" spans="1:25" x14ac:dyDescent="0.2">
      <c r="A320" s="35"/>
      <c r="B320" s="21"/>
      <c r="C320" s="18"/>
      <c r="D320" s="21"/>
      <c r="E320" s="21"/>
      <c r="F320" s="21"/>
      <c r="G320" s="36"/>
      <c r="H320" s="36"/>
      <c r="I320" s="36"/>
      <c r="J320" s="37"/>
      <c r="K320" s="18"/>
      <c r="L320" s="28" t="str">
        <f t="shared" si="44"/>
        <v/>
      </c>
      <c r="M320" s="29" t="str">
        <f t="shared" si="45"/>
        <v/>
      </c>
      <c r="N320" s="29" t="str">
        <f t="shared" si="46"/>
        <v/>
      </c>
      <c r="O320" s="30" t="str">
        <f t="shared" si="47"/>
        <v/>
      </c>
      <c r="P320" s="28" t="str">
        <f>IF($C320="","",IFERROR(INDEX(CA_TG,MATCH(B320,DS_CA,0))-INDEX(CA_NGHI,MATCH(B320,DS_CA,0))-SUMIFS('3 Nhật ký dừng máy'!$I$6:$I$1005,'3 Nhật ký dừng máy'!$A$6:$A$1005,$A320,'3 Nhật ký dừng máy'!$B$6:$B$1005,$B320,'3 Nhật ký dừng máy'!$C$6:$C$1005,$C320,'3 Nhật ký dừng máy'!$K$6:$K$1005,"Có kế hoạch"),"?"))</f>
        <v/>
      </c>
      <c r="Q320" s="28" t="str">
        <f>IF($C320="","",SUMIFS('3 Nhật ký dừng máy'!$I$6:$I$1005,'3 Nhật ký dừng máy'!$A$6:$A$1005,$A320,'3 Nhật ký dừng máy'!$B$6:$B$1005,$B320,'3 Nhật ký dừng máy'!$C$6:$C$1005,$C320,'3 Nhật ký dừng máy'!$K$6:$K$1005,"Ngoài kế hoạch"))</f>
        <v/>
      </c>
      <c r="R320" s="30" t="str">
        <f>IF($C320="","",COUNTIFS('3 Nhật ký dừng máy'!$A$6:$A$1005,$A320,'3 Nhật ký dừng máy'!$B$6:$B$1005,$B320,'3 Nhật ký dừng máy'!$C$6:$C$1005,$C320,'3 Nhật ký dừng máy'!$K$6:$K$1005,"Ngoài kế hoạch"))</f>
        <v/>
      </c>
      <c r="S320" s="31" t="str">
        <f t="shared" si="48"/>
        <v/>
      </c>
      <c r="T320" s="31" t="str">
        <f t="shared" si="49"/>
        <v/>
      </c>
      <c r="U320" s="31" t="str">
        <f t="shared" si="50"/>
        <v/>
      </c>
      <c r="V320" s="32" t="str">
        <f t="shared" si="51"/>
        <v/>
      </c>
      <c r="W320" s="30" t="str">
        <f t="shared" si="52"/>
        <v/>
      </c>
      <c r="X320" s="33" t="str">
        <f t="shared" si="53"/>
        <v/>
      </c>
      <c r="Y320" s="34" t="str">
        <f t="shared" si="54"/>
        <v/>
      </c>
    </row>
    <row r="321" spans="1:25" x14ac:dyDescent="0.2">
      <c r="A321" s="35"/>
      <c r="B321" s="21"/>
      <c r="C321" s="18"/>
      <c r="D321" s="21"/>
      <c r="E321" s="21"/>
      <c r="F321" s="21"/>
      <c r="G321" s="36"/>
      <c r="H321" s="36"/>
      <c r="I321" s="36"/>
      <c r="J321" s="37"/>
      <c r="K321" s="18"/>
      <c r="L321" s="28" t="str">
        <f t="shared" si="44"/>
        <v/>
      </c>
      <c r="M321" s="29" t="str">
        <f t="shared" si="45"/>
        <v/>
      </c>
      <c r="N321" s="29" t="str">
        <f t="shared" si="46"/>
        <v/>
      </c>
      <c r="O321" s="30" t="str">
        <f t="shared" si="47"/>
        <v/>
      </c>
      <c r="P321" s="28" t="str">
        <f>IF($C321="","",IFERROR(INDEX(CA_TG,MATCH(B321,DS_CA,0))-INDEX(CA_NGHI,MATCH(B321,DS_CA,0))-SUMIFS('3 Nhật ký dừng máy'!$I$6:$I$1005,'3 Nhật ký dừng máy'!$A$6:$A$1005,$A321,'3 Nhật ký dừng máy'!$B$6:$B$1005,$B321,'3 Nhật ký dừng máy'!$C$6:$C$1005,$C321,'3 Nhật ký dừng máy'!$K$6:$K$1005,"Có kế hoạch"),"?"))</f>
        <v/>
      </c>
      <c r="Q321" s="28" t="str">
        <f>IF($C321="","",SUMIFS('3 Nhật ký dừng máy'!$I$6:$I$1005,'3 Nhật ký dừng máy'!$A$6:$A$1005,$A321,'3 Nhật ký dừng máy'!$B$6:$B$1005,$B321,'3 Nhật ký dừng máy'!$C$6:$C$1005,$C321,'3 Nhật ký dừng máy'!$K$6:$K$1005,"Ngoài kế hoạch"))</f>
        <v/>
      </c>
      <c r="R321" s="30" t="str">
        <f>IF($C321="","",COUNTIFS('3 Nhật ký dừng máy'!$A$6:$A$1005,$A321,'3 Nhật ký dừng máy'!$B$6:$B$1005,$B321,'3 Nhật ký dừng máy'!$C$6:$C$1005,$C321,'3 Nhật ký dừng máy'!$K$6:$K$1005,"Ngoài kế hoạch"))</f>
        <v/>
      </c>
      <c r="S321" s="31" t="str">
        <f t="shared" si="48"/>
        <v/>
      </c>
      <c r="T321" s="31" t="str">
        <f t="shared" si="49"/>
        <v/>
      </c>
      <c r="U321" s="31" t="str">
        <f t="shared" si="50"/>
        <v/>
      </c>
      <c r="V321" s="32" t="str">
        <f t="shared" si="51"/>
        <v/>
      </c>
      <c r="W321" s="30" t="str">
        <f t="shared" si="52"/>
        <v/>
      </c>
      <c r="X321" s="33" t="str">
        <f t="shared" si="53"/>
        <v/>
      </c>
      <c r="Y321" s="34" t="str">
        <f t="shared" si="54"/>
        <v/>
      </c>
    </row>
    <row r="322" spans="1:25" x14ac:dyDescent="0.2">
      <c r="A322" s="35"/>
      <c r="B322" s="21"/>
      <c r="C322" s="18"/>
      <c r="D322" s="21"/>
      <c r="E322" s="21"/>
      <c r="F322" s="21"/>
      <c r="G322" s="36"/>
      <c r="H322" s="36"/>
      <c r="I322" s="36"/>
      <c r="J322" s="37"/>
      <c r="K322" s="18"/>
      <c r="L322" s="28" t="str">
        <f t="shared" si="44"/>
        <v/>
      </c>
      <c r="M322" s="29" t="str">
        <f t="shared" si="45"/>
        <v/>
      </c>
      <c r="N322" s="29" t="str">
        <f t="shared" si="46"/>
        <v/>
      </c>
      <c r="O322" s="30" t="str">
        <f t="shared" si="47"/>
        <v/>
      </c>
      <c r="P322" s="28" t="str">
        <f>IF($C322="","",IFERROR(INDEX(CA_TG,MATCH(B322,DS_CA,0))-INDEX(CA_NGHI,MATCH(B322,DS_CA,0))-SUMIFS('3 Nhật ký dừng máy'!$I$6:$I$1005,'3 Nhật ký dừng máy'!$A$6:$A$1005,$A322,'3 Nhật ký dừng máy'!$B$6:$B$1005,$B322,'3 Nhật ký dừng máy'!$C$6:$C$1005,$C322,'3 Nhật ký dừng máy'!$K$6:$K$1005,"Có kế hoạch"),"?"))</f>
        <v/>
      </c>
      <c r="Q322" s="28" t="str">
        <f>IF($C322="","",SUMIFS('3 Nhật ký dừng máy'!$I$6:$I$1005,'3 Nhật ký dừng máy'!$A$6:$A$1005,$A322,'3 Nhật ký dừng máy'!$B$6:$B$1005,$B322,'3 Nhật ký dừng máy'!$C$6:$C$1005,$C322,'3 Nhật ký dừng máy'!$K$6:$K$1005,"Ngoài kế hoạch"))</f>
        <v/>
      </c>
      <c r="R322" s="30" t="str">
        <f>IF($C322="","",COUNTIFS('3 Nhật ký dừng máy'!$A$6:$A$1005,$A322,'3 Nhật ký dừng máy'!$B$6:$B$1005,$B322,'3 Nhật ký dừng máy'!$C$6:$C$1005,$C322,'3 Nhật ký dừng máy'!$K$6:$K$1005,"Ngoài kế hoạch"))</f>
        <v/>
      </c>
      <c r="S322" s="31" t="str">
        <f t="shared" si="48"/>
        <v/>
      </c>
      <c r="T322" s="31" t="str">
        <f t="shared" si="49"/>
        <v/>
      </c>
      <c r="U322" s="31" t="str">
        <f t="shared" si="50"/>
        <v/>
      </c>
      <c r="V322" s="32" t="str">
        <f t="shared" si="51"/>
        <v/>
      </c>
      <c r="W322" s="30" t="str">
        <f t="shared" si="52"/>
        <v/>
      </c>
      <c r="X322" s="33" t="str">
        <f t="shared" si="53"/>
        <v/>
      </c>
      <c r="Y322" s="34" t="str">
        <f t="shared" si="54"/>
        <v/>
      </c>
    </row>
    <row r="323" spans="1:25" x14ac:dyDescent="0.2">
      <c r="A323" s="35"/>
      <c r="B323" s="21"/>
      <c r="C323" s="18"/>
      <c r="D323" s="21"/>
      <c r="E323" s="21"/>
      <c r="F323" s="21"/>
      <c r="G323" s="36"/>
      <c r="H323" s="36"/>
      <c r="I323" s="36"/>
      <c r="J323" s="37"/>
      <c r="K323" s="18"/>
      <c r="L323" s="28" t="str">
        <f t="shared" si="44"/>
        <v/>
      </c>
      <c r="M323" s="29" t="str">
        <f t="shared" si="45"/>
        <v/>
      </c>
      <c r="N323" s="29" t="str">
        <f t="shared" si="46"/>
        <v/>
      </c>
      <c r="O323" s="30" t="str">
        <f t="shared" si="47"/>
        <v/>
      </c>
      <c r="P323" s="28" t="str">
        <f>IF($C323="","",IFERROR(INDEX(CA_TG,MATCH(B323,DS_CA,0))-INDEX(CA_NGHI,MATCH(B323,DS_CA,0))-SUMIFS('3 Nhật ký dừng máy'!$I$6:$I$1005,'3 Nhật ký dừng máy'!$A$6:$A$1005,$A323,'3 Nhật ký dừng máy'!$B$6:$B$1005,$B323,'3 Nhật ký dừng máy'!$C$6:$C$1005,$C323,'3 Nhật ký dừng máy'!$K$6:$K$1005,"Có kế hoạch"),"?"))</f>
        <v/>
      </c>
      <c r="Q323" s="28" t="str">
        <f>IF($C323="","",SUMIFS('3 Nhật ký dừng máy'!$I$6:$I$1005,'3 Nhật ký dừng máy'!$A$6:$A$1005,$A323,'3 Nhật ký dừng máy'!$B$6:$B$1005,$B323,'3 Nhật ký dừng máy'!$C$6:$C$1005,$C323,'3 Nhật ký dừng máy'!$K$6:$K$1005,"Ngoài kế hoạch"))</f>
        <v/>
      </c>
      <c r="R323" s="30" t="str">
        <f>IF($C323="","",COUNTIFS('3 Nhật ký dừng máy'!$A$6:$A$1005,$A323,'3 Nhật ký dừng máy'!$B$6:$B$1005,$B323,'3 Nhật ký dừng máy'!$C$6:$C$1005,$C323,'3 Nhật ký dừng máy'!$K$6:$K$1005,"Ngoài kế hoạch"))</f>
        <v/>
      </c>
      <c r="S323" s="31" t="str">
        <f t="shared" si="48"/>
        <v/>
      </c>
      <c r="T323" s="31" t="str">
        <f t="shared" si="49"/>
        <v/>
      </c>
      <c r="U323" s="31" t="str">
        <f t="shared" si="50"/>
        <v/>
      </c>
      <c r="V323" s="32" t="str">
        <f t="shared" si="51"/>
        <v/>
      </c>
      <c r="W323" s="30" t="str">
        <f t="shared" si="52"/>
        <v/>
      </c>
      <c r="X323" s="33" t="str">
        <f t="shared" si="53"/>
        <v/>
      </c>
      <c r="Y323" s="34" t="str">
        <f t="shared" si="54"/>
        <v/>
      </c>
    </row>
    <row r="324" spans="1:25" x14ac:dyDescent="0.2">
      <c r="A324" s="35"/>
      <c r="B324" s="21"/>
      <c r="C324" s="18"/>
      <c r="D324" s="21"/>
      <c r="E324" s="21"/>
      <c r="F324" s="21"/>
      <c r="G324" s="36"/>
      <c r="H324" s="36"/>
      <c r="I324" s="36"/>
      <c r="J324" s="37"/>
      <c r="K324" s="18"/>
      <c r="L324" s="28" t="str">
        <f t="shared" si="44"/>
        <v/>
      </c>
      <c r="M324" s="29" t="str">
        <f t="shared" si="45"/>
        <v/>
      </c>
      <c r="N324" s="29" t="str">
        <f t="shared" si="46"/>
        <v/>
      </c>
      <c r="O324" s="30" t="str">
        <f t="shared" si="47"/>
        <v/>
      </c>
      <c r="P324" s="28" t="str">
        <f>IF($C324="","",IFERROR(INDEX(CA_TG,MATCH(B324,DS_CA,0))-INDEX(CA_NGHI,MATCH(B324,DS_CA,0))-SUMIFS('3 Nhật ký dừng máy'!$I$6:$I$1005,'3 Nhật ký dừng máy'!$A$6:$A$1005,$A324,'3 Nhật ký dừng máy'!$B$6:$B$1005,$B324,'3 Nhật ký dừng máy'!$C$6:$C$1005,$C324,'3 Nhật ký dừng máy'!$K$6:$K$1005,"Có kế hoạch"),"?"))</f>
        <v/>
      </c>
      <c r="Q324" s="28" t="str">
        <f>IF($C324="","",SUMIFS('3 Nhật ký dừng máy'!$I$6:$I$1005,'3 Nhật ký dừng máy'!$A$6:$A$1005,$A324,'3 Nhật ký dừng máy'!$B$6:$B$1005,$B324,'3 Nhật ký dừng máy'!$C$6:$C$1005,$C324,'3 Nhật ký dừng máy'!$K$6:$K$1005,"Ngoài kế hoạch"))</f>
        <v/>
      </c>
      <c r="R324" s="30" t="str">
        <f>IF($C324="","",COUNTIFS('3 Nhật ký dừng máy'!$A$6:$A$1005,$A324,'3 Nhật ký dừng máy'!$B$6:$B$1005,$B324,'3 Nhật ký dừng máy'!$C$6:$C$1005,$C324,'3 Nhật ký dừng máy'!$K$6:$K$1005,"Ngoài kế hoạch"))</f>
        <v/>
      </c>
      <c r="S324" s="31" t="str">
        <f t="shared" si="48"/>
        <v/>
      </c>
      <c r="T324" s="31" t="str">
        <f t="shared" si="49"/>
        <v/>
      </c>
      <c r="U324" s="31" t="str">
        <f t="shared" si="50"/>
        <v/>
      </c>
      <c r="V324" s="32" t="str">
        <f t="shared" si="51"/>
        <v/>
      </c>
      <c r="W324" s="30" t="str">
        <f t="shared" si="52"/>
        <v/>
      </c>
      <c r="X324" s="33" t="str">
        <f t="shared" si="53"/>
        <v/>
      </c>
      <c r="Y324" s="34" t="str">
        <f t="shared" si="54"/>
        <v/>
      </c>
    </row>
    <row r="325" spans="1:25" x14ac:dyDescent="0.2">
      <c r="A325" s="35"/>
      <c r="B325" s="21"/>
      <c r="C325" s="18"/>
      <c r="D325" s="21"/>
      <c r="E325" s="21"/>
      <c r="F325" s="21"/>
      <c r="G325" s="36"/>
      <c r="H325" s="36"/>
      <c r="I325" s="36"/>
      <c r="J325" s="37"/>
      <c r="K325" s="18"/>
      <c r="L325" s="28" t="str">
        <f t="shared" si="44"/>
        <v/>
      </c>
      <c r="M325" s="29" t="str">
        <f t="shared" si="45"/>
        <v/>
      </c>
      <c r="N325" s="29" t="str">
        <f t="shared" si="46"/>
        <v/>
      </c>
      <c r="O325" s="30" t="str">
        <f t="shared" si="47"/>
        <v/>
      </c>
      <c r="P325" s="28" t="str">
        <f>IF($C325="","",IFERROR(INDEX(CA_TG,MATCH(B325,DS_CA,0))-INDEX(CA_NGHI,MATCH(B325,DS_CA,0))-SUMIFS('3 Nhật ký dừng máy'!$I$6:$I$1005,'3 Nhật ký dừng máy'!$A$6:$A$1005,$A325,'3 Nhật ký dừng máy'!$B$6:$B$1005,$B325,'3 Nhật ký dừng máy'!$C$6:$C$1005,$C325,'3 Nhật ký dừng máy'!$K$6:$K$1005,"Có kế hoạch"),"?"))</f>
        <v/>
      </c>
      <c r="Q325" s="28" t="str">
        <f>IF($C325="","",SUMIFS('3 Nhật ký dừng máy'!$I$6:$I$1005,'3 Nhật ký dừng máy'!$A$6:$A$1005,$A325,'3 Nhật ký dừng máy'!$B$6:$B$1005,$B325,'3 Nhật ký dừng máy'!$C$6:$C$1005,$C325,'3 Nhật ký dừng máy'!$K$6:$K$1005,"Ngoài kế hoạch"))</f>
        <v/>
      </c>
      <c r="R325" s="30" t="str">
        <f>IF($C325="","",COUNTIFS('3 Nhật ký dừng máy'!$A$6:$A$1005,$A325,'3 Nhật ký dừng máy'!$B$6:$B$1005,$B325,'3 Nhật ký dừng máy'!$C$6:$C$1005,$C325,'3 Nhật ký dừng máy'!$K$6:$K$1005,"Ngoài kế hoạch"))</f>
        <v/>
      </c>
      <c r="S325" s="31" t="str">
        <f t="shared" si="48"/>
        <v/>
      </c>
      <c r="T325" s="31" t="str">
        <f t="shared" si="49"/>
        <v/>
      </c>
      <c r="U325" s="31" t="str">
        <f t="shared" si="50"/>
        <v/>
      </c>
      <c r="V325" s="32" t="str">
        <f t="shared" si="51"/>
        <v/>
      </c>
      <c r="W325" s="30" t="str">
        <f t="shared" si="52"/>
        <v/>
      </c>
      <c r="X325" s="33" t="str">
        <f t="shared" si="53"/>
        <v/>
      </c>
      <c r="Y325" s="34" t="str">
        <f t="shared" si="54"/>
        <v/>
      </c>
    </row>
    <row r="326" spans="1:25" x14ac:dyDescent="0.2">
      <c r="A326" s="35"/>
      <c r="B326" s="21"/>
      <c r="C326" s="18"/>
      <c r="D326" s="21"/>
      <c r="E326" s="21"/>
      <c r="F326" s="21"/>
      <c r="G326" s="36"/>
      <c r="H326" s="36"/>
      <c r="I326" s="36"/>
      <c r="J326" s="37"/>
      <c r="K326" s="18"/>
      <c r="L326" s="28" t="str">
        <f t="shared" ref="L326:L389" si="55">IF($C326="","",H326-I326)</f>
        <v/>
      </c>
      <c r="M326" s="29" t="str">
        <f t="shared" ref="M326:M389" si="56">IF(OR($C326="",N(G326)&lt;=0),"",L326/G326)</f>
        <v/>
      </c>
      <c r="N326" s="29" t="str">
        <f t="shared" ref="N326:N389" si="57">IF(OR($C326="",N(H326)&lt;=0),"",I326/H326)</f>
        <v/>
      </c>
      <c r="O326" s="30" t="str">
        <f t="shared" ref="O326:O389" si="58">IF($C326="","",IFERROR(INDEX(MH_CT,MATCH(E326,DS_MH,0)),"?"))</f>
        <v/>
      </c>
      <c r="P326" s="28" t="str">
        <f>IF($C326="","",IFERROR(INDEX(CA_TG,MATCH(B326,DS_CA,0))-INDEX(CA_NGHI,MATCH(B326,DS_CA,0))-SUMIFS('3 Nhật ký dừng máy'!$I$6:$I$1005,'3 Nhật ký dừng máy'!$A$6:$A$1005,$A326,'3 Nhật ký dừng máy'!$B$6:$B$1005,$B326,'3 Nhật ký dừng máy'!$C$6:$C$1005,$C326,'3 Nhật ký dừng máy'!$K$6:$K$1005,"Có kế hoạch"),"?"))</f>
        <v/>
      </c>
      <c r="Q326" s="28" t="str">
        <f>IF($C326="","",SUMIFS('3 Nhật ký dừng máy'!$I$6:$I$1005,'3 Nhật ký dừng máy'!$A$6:$A$1005,$A326,'3 Nhật ký dừng máy'!$B$6:$B$1005,$B326,'3 Nhật ký dừng máy'!$C$6:$C$1005,$C326,'3 Nhật ký dừng máy'!$K$6:$K$1005,"Ngoài kế hoạch"))</f>
        <v/>
      </c>
      <c r="R326" s="30" t="str">
        <f>IF($C326="","",COUNTIFS('3 Nhật ký dừng máy'!$A$6:$A$1005,$A326,'3 Nhật ký dừng máy'!$B$6:$B$1005,$B326,'3 Nhật ký dừng máy'!$C$6:$C$1005,$C326,'3 Nhật ký dừng máy'!$K$6:$K$1005,"Ngoài kế hoạch"))</f>
        <v/>
      </c>
      <c r="S326" s="31" t="str">
        <f t="shared" ref="S326:S389" si="59">IF($C326="","",IFERROR(H326*O326/60,"?"))</f>
        <v/>
      </c>
      <c r="T326" s="31" t="str">
        <f t="shared" ref="T326:T389" si="60">IF($C326="","",IFERROR(P326-Q326-S326,"?"))</f>
        <v/>
      </c>
      <c r="U326" s="31" t="str">
        <f t="shared" ref="U326:U389" si="61">IF($C326="","",IFERROR(L326*O326/60,"?"))</f>
        <v/>
      </c>
      <c r="V326" s="32" t="str">
        <f t="shared" ref="V326:V389" si="62">IF($C326="","",IFERROR(U326/P326,"?"))</f>
        <v/>
      </c>
      <c r="W326" s="30" t="str">
        <f t="shared" ref="W326:W389" si="63">IF(OR($C326="",J326=""),"",INT(J326)-A326)</f>
        <v/>
      </c>
      <c r="X326" s="33" t="str">
        <f t="shared" ref="X326:X389" si="64">IF($C326="","",IFERROR(LEFT(IF(N(T326)&lt;0,"Nhanh hơn chu kỳ chuẩn — chuẩn đặt rộng?; ","")&amp;IF(D326="","Thiếu người đứng máy; ","")&amp;IF(R326=0,"Không ghi lần dừng nào; ","")&amp;IF(COUNTIF($Y$6:$Y$505,Y326)&gt;1,"Trùng dòng máy × ca; ",""),LEN(IF(N(T326)&lt;0,"Nhanh hơn chu kỳ chuẩn — chuẩn đặt rộng?; ","")&amp;IF(D326="","Thiếu người đứng máy; ","")&amp;IF(R326=0,"Không ghi lần dừng nào; ","")&amp;IF(COUNTIF($Y$6:$Y$505,Y326)&gt;1,"Trùng dòng máy × ca; ",""))-2),""))</f>
        <v/>
      </c>
      <c r="Y326" s="34" t="str">
        <f t="shared" ref="Y326:Y389" si="65">IF($C326="","",A326&amp;"|"&amp;B326&amp;"|"&amp;C326)</f>
        <v/>
      </c>
    </row>
    <row r="327" spans="1:25" x14ac:dyDescent="0.2">
      <c r="A327" s="35"/>
      <c r="B327" s="21"/>
      <c r="C327" s="18"/>
      <c r="D327" s="21"/>
      <c r="E327" s="21"/>
      <c r="F327" s="21"/>
      <c r="G327" s="36"/>
      <c r="H327" s="36"/>
      <c r="I327" s="36"/>
      <c r="J327" s="37"/>
      <c r="K327" s="18"/>
      <c r="L327" s="28" t="str">
        <f t="shared" si="55"/>
        <v/>
      </c>
      <c r="M327" s="29" t="str">
        <f t="shared" si="56"/>
        <v/>
      </c>
      <c r="N327" s="29" t="str">
        <f t="shared" si="57"/>
        <v/>
      </c>
      <c r="O327" s="30" t="str">
        <f t="shared" si="58"/>
        <v/>
      </c>
      <c r="P327" s="28" t="str">
        <f>IF($C327="","",IFERROR(INDEX(CA_TG,MATCH(B327,DS_CA,0))-INDEX(CA_NGHI,MATCH(B327,DS_CA,0))-SUMIFS('3 Nhật ký dừng máy'!$I$6:$I$1005,'3 Nhật ký dừng máy'!$A$6:$A$1005,$A327,'3 Nhật ký dừng máy'!$B$6:$B$1005,$B327,'3 Nhật ký dừng máy'!$C$6:$C$1005,$C327,'3 Nhật ký dừng máy'!$K$6:$K$1005,"Có kế hoạch"),"?"))</f>
        <v/>
      </c>
      <c r="Q327" s="28" t="str">
        <f>IF($C327="","",SUMIFS('3 Nhật ký dừng máy'!$I$6:$I$1005,'3 Nhật ký dừng máy'!$A$6:$A$1005,$A327,'3 Nhật ký dừng máy'!$B$6:$B$1005,$B327,'3 Nhật ký dừng máy'!$C$6:$C$1005,$C327,'3 Nhật ký dừng máy'!$K$6:$K$1005,"Ngoài kế hoạch"))</f>
        <v/>
      </c>
      <c r="R327" s="30" t="str">
        <f>IF($C327="","",COUNTIFS('3 Nhật ký dừng máy'!$A$6:$A$1005,$A327,'3 Nhật ký dừng máy'!$B$6:$B$1005,$B327,'3 Nhật ký dừng máy'!$C$6:$C$1005,$C327,'3 Nhật ký dừng máy'!$K$6:$K$1005,"Ngoài kế hoạch"))</f>
        <v/>
      </c>
      <c r="S327" s="31" t="str">
        <f t="shared" si="59"/>
        <v/>
      </c>
      <c r="T327" s="31" t="str">
        <f t="shared" si="60"/>
        <v/>
      </c>
      <c r="U327" s="31" t="str">
        <f t="shared" si="61"/>
        <v/>
      </c>
      <c r="V327" s="32" t="str">
        <f t="shared" si="62"/>
        <v/>
      </c>
      <c r="W327" s="30" t="str">
        <f t="shared" si="63"/>
        <v/>
      </c>
      <c r="X327" s="33" t="str">
        <f t="shared" si="64"/>
        <v/>
      </c>
      <c r="Y327" s="34" t="str">
        <f t="shared" si="65"/>
        <v/>
      </c>
    </row>
    <row r="328" spans="1:25" x14ac:dyDescent="0.2">
      <c r="A328" s="35"/>
      <c r="B328" s="21"/>
      <c r="C328" s="18"/>
      <c r="D328" s="21"/>
      <c r="E328" s="21"/>
      <c r="F328" s="21"/>
      <c r="G328" s="36"/>
      <c r="H328" s="36"/>
      <c r="I328" s="36"/>
      <c r="J328" s="37"/>
      <c r="K328" s="18"/>
      <c r="L328" s="28" t="str">
        <f t="shared" si="55"/>
        <v/>
      </c>
      <c r="M328" s="29" t="str">
        <f t="shared" si="56"/>
        <v/>
      </c>
      <c r="N328" s="29" t="str">
        <f t="shared" si="57"/>
        <v/>
      </c>
      <c r="O328" s="30" t="str">
        <f t="shared" si="58"/>
        <v/>
      </c>
      <c r="P328" s="28" t="str">
        <f>IF($C328="","",IFERROR(INDEX(CA_TG,MATCH(B328,DS_CA,0))-INDEX(CA_NGHI,MATCH(B328,DS_CA,0))-SUMIFS('3 Nhật ký dừng máy'!$I$6:$I$1005,'3 Nhật ký dừng máy'!$A$6:$A$1005,$A328,'3 Nhật ký dừng máy'!$B$6:$B$1005,$B328,'3 Nhật ký dừng máy'!$C$6:$C$1005,$C328,'3 Nhật ký dừng máy'!$K$6:$K$1005,"Có kế hoạch"),"?"))</f>
        <v/>
      </c>
      <c r="Q328" s="28" t="str">
        <f>IF($C328="","",SUMIFS('3 Nhật ký dừng máy'!$I$6:$I$1005,'3 Nhật ký dừng máy'!$A$6:$A$1005,$A328,'3 Nhật ký dừng máy'!$B$6:$B$1005,$B328,'3 Nhật ký dừng máy'!$C$6:$C$1005,$C328,'3 Nhật ký dừng máy'!$K$6:$K$1005,"Ngoài kế hoạch"))</f>
        <v/>
      </c>
      <c r="R328" s="30" t="str">
        <f>IF($C328="","",COUNTIFS('3 Nhật ký dừng máy'!$A$6:$A$1005,$A328,'3 Nhật ký dừng máy'!$B$6:$B$1005,$B328,'3 Nhật ký dừng máy'!$C$6:$C$1005,$C328,'3 Nhật ký dừng máy'!$K$6:$K$1005,"Ngoài kế hoạch"))</f>
        <v/>
      </c>
      <c r="S328" s="31" t="str">
        <f t="shared" si="59"/>
        <v/>
      </c>
      <c r="T328" s="31" t="str">
        <f t="shared" si="60"/>
        <v/>
      </c>
      <c r="U328" s="31" t="str">
        <f t="shared" si="61"/>
        <v/>
      </c>
      <c r="V328" s="32" t="str">
        <f t="shared" si="62"/>
        <v/>
      </c>
      <c r="W328" s="30" t="str">
        <f t="shared" si="63"/>
        <v/>
      </c>
      <c r="X328" s="33" t="str">
        <f t="shared" si="64"/>
        <v/>
      </c>
      <c r="Y328" s="34" t="str">
        <f t="shared" si="65"/>
        <v/>
      </c>
    </row>
    <row r="329" spans="1:25" x14ac:dyDescent="0.2">
      <c r="A329" s="35"/>
      <c r="B329" s="21"/>
      <c r="C329" s="18"/>
      <c r="D329" s="21"/>
      <c r="E329" s="21"/>
      <c r="F329" s="21"/>
      <c r="G329" s="36"/>
      <c r="H329" s="36"/>
      <c r="I329" s="36"/>
      <c r="J329" s="37"/>
      <c r="K329" s="18"/>
      <c r="L329" s="28" t="str">
        <f t="shared" si="55"/>
        <v/>
      </c>
      <c r="M329" s="29" t="str">
        <f t="shared" si="56"/>
        <v/>
      </c>
      <c r="N329" s="29" t="str">
        <f t="shared" si="57"/>
        <v/>
      </c>
      <c r="O329" s="30" t="str">
        <f t="shared" si="58"/>
        <v/>
      </c>
      <c r="P329" s="28" t="str">
        <f>IF($C329="","",IFERROR(INDEX(CA_TG,MATCH(B329,DS_CA,0))-INDEX(CA_NGHI,MATCH(B329,DS_CA,0))-SUMIFS('3 Nhật ký dừng máy'!$I$6:$I$1005,'3 Nhật ký dừng máy'!$A$6:$A$1005,$A329,'3 Nhật ký dừng máy'!$B$6:$B$1005,$B329,'3 Nhật ký dừng máy'!$C$6:$C$1005,$C329,'3 Nhật ký dừng máy'!$K$6:$K$1005,"Có kế hoạch"),"?"))</f>
        <v/>
      </c>
      <c r="Q329" s="28" t="str">
        <f>IF($C329="","",SUMIFS('3 Nhật ký dừng máy'!$I$6:$I$1005,'3 Nhật ký dừng máy'!$A$6:$A$1005,$A329,'3 Nhật ký dừng máy'!$B$6:$B$1005,$B329,'3 Nhật ký dừng máy'!$C$6:$C$1005,$C329,'3 Nhật ký dừng máy'!$K$6:$K$1005,"Ngoài kế hoạch"))</f>
        <v/>
      </c>
      <c r="R329" s="30" t="str">
        <f>IF($C329="","",COUNTIFS('3 Nhật ký dừng máy'!$A$6:$A$1005,$A329,'3 Nhật ký dừng máy'!$B$6:$B$1005,$B329,'3 Nhật ký dừng máy'!$C$6:$C$1005,$C329,'3 Nhật ký dừng máy'!$K$6:$K$1005,"Ngoài kế hoạch"))</f>
        <v/>
      </c>
      <c r="S329" s="31" t="str">
        <f t="shared" si="59"/>
        <v/>
      </c>
      <c r="T329" s="31" t="str">
        <f t="shared" si="60"/>
        <v/>
      </c>
      <c r="U329" s="31" t="str">
        <f t="shared" si="61"/>
        <v/>
      </c>
      <c r="V329" s="32" t="str">
        <f t="shared" si="62"/>
        <v/>
      </c>
      <c r="W329" s="30" t="str">
        <f t="shared" si="63"/>
        <v/>
      </c>
      <c r="X329" s="33" t="str">
        <f t="shared" si="64"/>
        <v/>
      </c>
      <c r="Y329" s="34" t="str">
        <f t="shared" si="65"/>
        <v/>
      </c>
    </row>
    <row r="330" spans="1:25" x14ac:dyDescent="0.2">
      <c r="A330" s="35"/>
      <c r="B330" s="21"/>
      <c r="C330" s="18"/>
      <c r="D330" s="21"/>
      <c r="E330" s="21"/>
      <c r="F330" s="21"/>
      <c r="G330" s="36"/>
      <c r="H330" s="36"/>
      <c r="I330" s="36"/>
      <c r="J330" s="37"/>
      <c r="K330" s="18"/>
      <c r="L330" s="28" t="str">
        <f t="shared" si="55"/>
        <v/>
      </c>
      <c r="M330" s="29" t="str">
        <f t="shared" si="56"/>
        <v/>
      </c>
      <c r="N330" s="29" t="str">
        <f t="shared" si="57"/>
        <v/>
      </c>
      <c r="O330" s="30" t="str">
        <f t="shared" si="58"/>
        <v/>
      </c>
      <c r="P330" s="28" t="str">
        <f>IF($C330="","",IFERROR(INDEX(CA_TG,MATCH(B330,DS_CA,0))-INDEX(CA_NGHI,MATCH(B330,DS_CA,0))-SUMIFS('3 Nhật ký dừng máy'!$I$6:$I$1005,'3 Nhật ký dừng máy'!$A$6:$A$1005,$A330,'3 Nhật ký dừng máy'!$B$6:$B$1005,$B330,'3 Nhật ký dừng máy'!$C$6:$C$1005,$C330,'3 Nhật ký dừng máy'!$K$6:$K$1005,"Có kế hoạch"),"?"))</f>
        <v/>
      </c>
      <c r="Q330" s="28" t="str">
        <f>IF($C330="","",SUMIFS('3 Nhật ký dừng máy'!$I$6:$I$1005,'3 Nhật ký dừng máy'!$A$6:$A$1005,$A330,'3 Nhật ký dừng máy'!$B$6:$B$1005,$B330,'3 Nhật ký dừng máy'!$C$6:$C$1005,$C330,'3 Nhật ký dừng máy'!$K$6:$K$1005,"Ngoài kế hoạch"))</f>
        <v/>
      </c>
      <c r="R330" s="30" t="str">
        <f>IF($C330="","",COUNTIFS('3 Nhật ký dừng máy'!$A$6:$A$1005,$A330,'3 Nhật ký dừng máy'!$B$6:$B$1005,$B330,'3 Nhật ký dừng máy'!$C$6:$C$1005,$C330,'3 Nhật ký dừng máy'!$K$6:$K$1005,"Ngoài kế hoạch"))</f>
        <v/>
      </c>
      <c r="S330" s="31" t="str">
        <f t="shared" si="59"/>
        <v/>
      </c>
      <c r="T330" s="31" t="str">
        <f t="shared" si="60"/>
        <v/>
      </c>
      <c r="U330" s="31" t="str">
        <f t="shared" si="61"/>
        <v/>
      </c>
      <c r="V330" s="32" t="str">
        <f t="shared" si="62"/>
        <v/>
      </c>
      <c r="W330" s="30" t="str">
        <f t="shared" si="63"/>
        <v/>
      </c>
      <c r="X330" s="33" t="str">
        <f t="shared" si="64"/>
        <v/>
      </c>
      <c r="Y330" s="34" t="str">
        <f t="shared" si="65"/>
        <v/>
      </c>
    </row>
    <row r="331" spans="1:25" x14ac:dyDescent="0.2">
      <c r="A331" s="35"/>
      <c r="B331" s="21"/>
      <c r="C331" s="18"/>
      <c r="D331" s="21"/>
      <c r="E331" s="21"/>
      <c r="F331" s="21"/>
      <c r="G331" s="36"/>
      <c r="H331" s="36"/>
      <c r="I331" s="36"/>
      <c r="J331" s="37"/>
      <c r="K331" s="18"/>
      <c r="L331" s="28" t="str">
        <f t="shared" si="55"/>
        <v/>
      </c>
      <c r="M331" s="29" t="str">
        <f t="shared" si="56"/>
        <v/>
      </c>
      <c r="N331" s="29" t="str">
        <f t="shared" si="57"/>
        <v/>
      </c>
      <c r="O331" s="30" t="str">
        <f t="shared" si="58"/>
        <v/>
      </c>
      <c r="P331" s="28" t="str">
        <f>IF($C331="","",IFERROR(INDEX(CA_TG,MATCH(B331,DS_CA,0))-INDEX(CA_NGHI,MATCH(B331,DS_CA,0))-SUMIFS('3 Nhật ký dừng máy'!$I$6:$I$1005,'3 Nhật ký dừng máy'!$A$6:$A$1005,$A331,'3 Nhật ký dừng máy'!$B$6:$B$1005,$B331,'3 Nhật ký dừng máy'!$C$6:$C$1005,$C331,'3 Nhật ký dừng máy'!$K$6:$K$1005,"Có kế hoạch"),"?"))</f>
        <v/>
      </c>
      <c r="Q331" s="28" t="str">
        <f>IF($C331="","",SUMIFS('3 Nhật ký dừng máy'!$I$6:$I$1005,'3 Nhật ký dừng máy'!$A$6:$A$1005,$A331,'3 Nhật ký dừng máy'!$B$6:$B$1005,$B331,'3 Nhật ký dừng máy'!$C$6:$C$1005,$C331,'3 Nhật ký dừng máy'!$K$6:$K$1005,"Ngoài kế hoạch"))</f>
        <v/>
      </c>
      <c r="R331" s="30" t="str">
        <f>IF($C331="","",COUNTIFS('3 Nhật ký dừng máy'!$A$6:$A$1005,$A331,'3 Nhật ký dừng máy'!$B$6:$B$1005,$B331,'3 Nhật ký dừng máy'!$C$6:$C$1005,$C331,'3 Nhật ký dừng máy'!$K$6:$K$1005,"Ngoài kế hoạch"))</f>
        <v/>
      </c>
      <c r="S331" s="31" t="str">
        <f t="shared" si="59"/>
        <v/>
      </c>
      <c r="T331" s="31" t="str">
        <f t="shared" si="60"/>
        <v/>
      </c>
      <c r="U331" s="31" t="str">
        <f t="shared" si="61"/>
        <v/>
      </c>
      <c r="V331" s="32" t="str">
        <f t="shared" si="62"/>
        <v/>
      </c>
      <c r="W331" s="30" t="str">
        <f t="shared" si="63"/>
        <v/>
      </c>
      <c r="X331" s="33" t="str">
        <f t="shared" si="64"/>
        <v/>
      </c>
      <c r="Y331" s="34" t="str">
        <f t="shared" si="65"/>
        <v/>
      </c>
    </row>
    <row r="332" spans="1:25" x14ac:dyDescent="0.2">
      <c r="A332" s="35"/>
      <c r="B332" s="21"/>
      <c r="C332" s="18"/>
      <c r="D332" s="21"/>
      <c r="E332" s="21"/>
      <c r="F332" s="21"/>
      <c r="G332" s="36"/>
      <c r="H332" s="36"/>
      <c r="I332" s="36"/>
      <c r="J332" s="37"/>
      <c r="K332" s="18"/>
      <c r="L332" s="28" t="str">
        <f t="shared" si="55"/>
        <v/>
      </c>
      <c r="M332" s="29" t="str">
        <f t="shared" si="56"/>
        <v/>
      </c>
      <c r="N332" s="29" t="str">
        <f t="shared" si="57"/>
        <v/>
      </c>
      <c r="O332" s="30" t="str">
        <f t="shared" si="58"/>
        <v/>
      </c>
      <c r="P332" s="28" t="str">
        <f>IF($C332="","",IFERROR(INDEX(CA_TG,MATCH(B332,DS_CA,0))-INDEX(CA_NGHI,MATCH(B332,DS_CA,0))-SUMIFS('3 Nhật ký dừng máy'!$I$6:$I$1005,'3 Nhật ký dừng máy'!$A$6:$A$1005,$A332,'3 Nhật ký dừng máy'!$B$6:$B$1005,$B332,'3 Nhật ký dừng máy'!$C$6:$C$1005,$C332,'3 Nhật ký dừng máy'!$K$6:$K$1005,"Có kế hoạch"),"?"))</f>
        <v/>
      </c>
      <c r="Q332" s="28" t="str">
        <f>IF($C332="","",SUMIFS('3 Nhật ký dừng máy'!$I$6:$I$1005,'3 Nhật ký dừng máy'!$A$6:$A$1005,$A332,'3 Nhật ký dừng máy'!$B$6:$B$1005,$B332,'3 Nhật ký dừng máy'!$C$6:$C$1005,$C332,'3 Nhật ký dừng máy'!$K$6:$K$1005,"Ngoài kế hoạch"))</f>
        <v/>
      </c>
      <c r="R332" s="30" t="str">
        <f>IF($C332="","",COUNTIFS('3 Nhật ký dừng máy'!$A$6:$A$1005,$A332,'3 Nhật ký dừng máy'!$B$6:$B$1005,$B332,'3 Nhật ký dừng máy'!$C$6:$C$1005,$C332,'3 Nhật ký dừng máy'!$K$6:$K$1005,"Ngoài kế hoạch"))</f>
        <v/>
      </c>
      <c r="S332" s="31" t="str">
        <f t="shared" si="59"/>
        <v/>
      </c>
      <c r="T332" s="31" t="str">
        <f t="shared" si="60"/>
        <v/>
      </c>
      <c r="U332" s="31" t="str">
        <f t="shared" si="61"/>
        <v/>
      </c>
      <c r="V332" s="32" t="str">
        <f t="shared" si="62"/>
        <v/>
      </c>
      <c r="W332" s="30" t="str">
        <f t="shared" si="63"/>
        <v/>
      </c>
      <c r="X332" s="33" t="str">
        <f t="shared" si="64"/>
        <v/>
      </c>
      <c r="Y332" s="34" t="str">
        <f t="shared" si="65"/>
        <v/>
      </c>
    </row>
    <row r="333" spans="1:25" x14ac:dyDescent="0.2">
      <c r="A333" s="35"/>
      <c r="B333" s="21"/>
      <c r="C333" s="18"/>
      <c r="D333" s="21"/>
      <c r="E333" s="21"/>
      <c r="F333" s="21"/>
      <c r="G333" s="36"/>
      <c r="H333" s="36"/>
      <c r="I333" s="36"/>
      <c r="J333" s="37"/>
      <c r="K333" s="18"/>
      <c r="L333" s="28" t="str">
        <f t="shared" si="55"/>
        <v/>
      </c>
      <c r="M333" s="29" t="str">
        <f t="shared" si="56"/>
        <v/>
      </c>
      <c r="N333" s="29" t="str">
        <f t="shared" si="57"/>
        <v/>
      </c>
      <c r="O333" s="30" t="str">
        <f t="shared" si="58"/>
        <v/>
      </c>
      <c r="P333" s="28" t="str">
        <f>IF($C333="","",IFERROR(INDEX(CA_TG,MATCH(B333,DS_CA,0))-INDEX(CA_NGHI,MATCH(B333,DS_CA,0))-SUMIFS('3 Nhật ký dừng máy'!$I$6:$I$1005,'3 Nhật ký dừng máy'!$A$6:$A$1005,$A333,'3 Nhật ký dừng máy'!$B$6:$B$1005,$B333,'3 Nhật ký dừng máy'!$C$6:$C$1005,$C333,'3 Nhật ký dừng máy'!$K$6:$K$1005,"Có kế hoạch"),"?"))</f>
        <v/>
      </c>
      <c r="Q333" s="28" t="str">
        <f>IF($C333="","",SUMIFS('3 Nhật ký dừng máy'!$I$6:$I$1005,'3 Nhật ký dừng máy'!$A$6:$A$1005,$A333,'3 Nhật ký dừng máy'!$B$6:$B$1005,$B333,'3 Nhật ký dừng máy'!$C$6:$C$1005,$C333,'3 Nhật ký dừng máy'!$K$6:$K$1005,"Ngoài kế hoạch"))</f>
        <v/>
      </c>
      <c r="R333" s="30" t="str">
        <f>IF($C333="","",COUNTIFS('3 Nhật ký dừng máy'!$A$6:$A$1005,$A333,'3 Nhật ký dừng máy'!$B$6:$B$1005,$B333,'3 Nhật ký dừng máy'!$C$6:$C$1005,$C333,'3 Nhật ký dừng máy'!$K$6:$K$1005,"Ngoài kế hoạch"))</f>
        <v/>
      </c>
      <c r="S333" s="31" t="str">
        <f t="shared" si="59"/>
        <v/>
      </c>
      <c r="T333" s="31" t="str">
        <f t="shared" si="60"/>
        <v/>
      </c>
      <c r="U333" s="31" t="str">
        <f t="shared" si="61"/>
        <v/>
      </c>
      <c r="V333" s="32" t="str">
        <f t="shared" si="62"/>
        <v/>
      </c>
      <c r="W333" s="30" t="str">
        <f t="shared" si="63"/>
        <v/>
      </c>
      <c r="X333" s="33" t="str">
        <f t="shared" si="64"/>
        <v/>
      </c>
      <c r="Y333" s="34" t="str">
        <f t="shared" si="65"/>
        <v/>
      </c>
    </row>
    <row r="334" spans="1:25" x14ac:dyDescent="0.2">
      <c r="A334" s="35"/>
      <c r="B334" s="21"/>
      <c r="C334" s="18"/>
      <c r="D334" s="21"/>
      <c r="E334" s="21"/>
      <c r="F334" s="21"/>
      <c r="G334" s="36"/>
      <c r="H334" s="36"/>
      <c r="I334" s="36"/>
      <c r="J334" s="37"/>
      <c r="K334" s="18"/>
      <c r="L334" s="28" t="str">
        <f t="shared" si="55"/>
        <v/>
      </c>
      <c r="M334" s="29" t="str">
        <f t="shared" si="56"/>
        <v/>
      </c>
      <c r="N334" s="29" t="str">
        <f t="shared" si="57"/>
        <v/>
      </c>
      <c r="O334" s="30" t="str">
        <f t="shared" si="58"/>
        <v/>
      </c>
      <c r="P334" s="28" t="str">
        <f>IF($C334="","",IFERROR(INDEX(CA_TG,MATCH(B334,DS_CA,0))-INDEX(CA_NGHI,MATCH(B334,DS_CA,0))-SUMIFS('3 Nhật ký dừng máy'!$I$6:$I$1005,'3 Nhật ký dừng máy'!$A$6:$A$1005,$A334,'3 Nhật ký dừng máy'!$B$6:$B$1005,$B334,'3 Nhật ký dừng máy'!$C$6:$C$1005,$C334,'3 Nhật ký dừng máy'!$K$6:$K$1005,"Có kế hoạch"),"?"))</f>
        <v/>
      </c>
      <c r="Q334" s="28" t="str">
        <f>IF($C334="","",SUMIFS('3 Nhật ký dừng máy'!$I$6:$I$1005,'3 Nhật ký dừng máy'!$A$6:$A$1005,$A334,'3 Nhật ký dừng máy'!$B$6:$B$1005,$B334,'3 Nhật ký dừng máy'!$C$6:$C$1005,$C334,'3 Nhật ký dừng máy'!$K$6:$K$1005,"Ngoài kế hoạch"))</f>
        <v/>
      </c>
      <c r="R334" s="30" t="str">
        <f>IF($C334="","",COUNTIFS('3 Nhật ký dừng máy'!$A$6:$A$1005,$A334,'3 Nhật ký dừng máy'!$B$6:$B$1005,$B334,'3 Nhật ký dừng máy'!$C$6:$C$1005,$C334,'3 Nhật ký dừng máy'!$K$6:$K$1005,"Ngoài kế hoạch"))</f>
        <v/>
      </c>
      <c r="S334" s="31" t="str">
        <f t="shared" si="59"/>
        <v/>
      </c>
      <c r="T334" s="31" t="str">
        <f t="shared" si="60"/>
        <v/>
      </c>
      <c r="U334" s="31" t="str">
        <f t="shared" si="61"/>
        <v/>
      </c>
      <c r="V334" s="32" t="str">
        <f t="shared" si="62"/>
        <v/>
      </c>
      <c r="W334" s="30" t="str">
        <f t="shared" si="63"/>
        <v/>
      </c>
      <c r="X334" s="33" t="str">
        <f t="shared" si="64"/>
        <v/>
      </c>
      <c r="Y334" s="34" t="str">
        <f t="shared" si="65"/>
        <v/>
      </c>
    </row>
    <row r="335" spans="1:25" x14ac:dyDescent="0.2">
      <c r="A335" s="35"/>
      <c r="B335" s="21"/>
      <c r="C335" s="18"/>
      <c r="D335" s="21"/>
      <c r="E335" s="21"/>
      <c r="F335" s="21"/>
      <c r="G335" s="36"/>
      <c r="H335" s="36"/>
      <c r="I335" s="36"/>
      <c r="J335" s="37"/>
      <c r="K335" s="18"/>
      <c r="L335" s="28" t="str">
        <f t="shared" si="55"/>
        <v/>
      </c>
      <c r="M335" s="29" t="str">
        <f t="shared" si="56"/>
        <v/>
      </c>
      <c r="N335" s="29" t="str">
        <f t="shared" si="57"/>
        <v/>
      </c>
      <c r="O335" s="30" t="str">
        <f t="shared" si="58"/>
        <v/>
      </c>
      <c r="P335" s="28" t="str">
        <f>IF($C335="","",IFERROR(INDEX(CA_TG,MATCH(B335,DS_CA,0))-INDEX(CA_NGHI,MATCH(B335,DS_CA,0))-SUMIFS('3 Nhật ký dừng máy'!$I$6:$I$1005,'3 Nhật ký dừng máy'!$A$6:$A$1005,$A335,'3 Nhật ký dừng máy'!$B$6:$B$1005,$B335,'3 Nhật ký dừng máy'!$C$6:$C$1005,$C335,'3 Nhật ký dừng máy'!$K$6:$K$1005,"Có kế hoạch"),"?"))</f>
        <v/>
      </c>
      <c r="Q335" s="28" t="str">
        <f>IF($C335="","",SUMIFS('3 Nhật ký dừng máy'!$I$6:$I$1005,'3 Nhật ký dừng máy'!$A$6:$A$1005,$A335,'3 Nhật ký dừng máy'!$B$6:$B$1005,$B335,'3 Nhật ký dừng máy'!$C$6:$C$1005,$C335,'3 Nhật ký dừng máy'!$K$6:$K$1005,"Ngoài kế hoạch"))</f>
        <v/>
      </c>
      <c r="R335" s="30" t="str">
        <f>IF($C335="","",COUNTIFS('3 Nhật ký dừng máy'!$A$6:$A$1005,$A335,'3 Nhật ký dừng máy'!$B$6:$B$1005,$B335,'3 Nhật ký dừng máy'!$C$6:$C$1005,$C335,'3 Nhật ký dừng máy'!$K$6:$K$1005,"Ngoài kế hoạch"))</f>
        <v/>
      </c>
      <c r="S335" s="31" t="str">
        <f t="shared" si="59"/>
        <v/>
      </c>
      <c r="T335" s="31" t="str">
        <f t="shared" si="60"/>
        <v/>
      </c>
      <c r="U335" s="31" t="str">
        <f t="shared" si="61"/>
        <v/>
      </c>
      <c r="V335" s="32" t="str">
        <f t="shared" si="62"/>
        <v/>
      </c>
      <c r="W335" s="30" t="str">
        <f t="shared" si="63"/>
        <v/>
      </c>
      <c r="X335" s="33" t="str">
        <f t="shared" si="64"/>
        <v/>
      </c>
      <c r="Y335" s="34" t="str">
        <f t="shared" si="65"/>
        <v/>
      </c>
    </row>
    <row r="336" spans="1:25" x14ac:dyDescent="0.2">
      <c r="A336" s="35"/>
      <c r="B336" s="21"/>
      <c r="C336" s="18"/>
      <c r="D336" s="21"/>
      <c r="E336" s="21"/>
      <c r="F336" s="21"/>
      <c r="G336" s="36"/>
      <c r="H336" s="36"/>
      <c r="I336" s="36"/>
      <c r="J336" s="37"/>
      <c r="K336" s="18"/>
      <c r="L336" s="28" t="str">
        <f t="shared" si="55"/>
        <v/>
      </c>
      <c r="M336" s="29" t="str">
        <f t="shared" si="56"/>
        <v/>
      </c>
      <c r="N336" s="29" t="str">
        <f t="shared" si="57"/>
        <v/>
      </c>
      <c r="O336" s="30" t="str">
        <f t="shared" si="58"/>
        <v/>
      </c>
      <c r="P336" s="28" t="str">
        <f>IF($C336="","",IFERROR(INDEX(CA_TG,MATCH(B336,DS_CA,0))-INDEX(CA_NGHI,MATCH(B336,DS_CA,0))-SUMIFS('3 Nhật ký dừng máy'!$I$6:$I$1005,'3 Nhật ký dừng máy'!$A$6:$A$1005,$A336,'3 Nhật ký dừng máy'!$B$6:$B$1005,$B336,'3 Nhật ký dừng máy'!$C$6:$C$1005,$C336,'3 Nhật ký dừng máy'!$K$6:$K$1005,"Có kế hoạch"),"?"))</f>
        <v/>
      </c>
      <c r="Q336" s="28" t="str">
        <f>IF($C336="","",SUMIFS('3 Nhật ký dừng máy'!$I$6:$I$1005,'3 Nhật ký dừng máy'!$A$6:$A$1005,$A336,'3 Nhật ký dừng máy'!$B$6:$B$1005,$B336,'3 Nhật ký dừng máy'!$C$6:$C$1005,$C336,'3 Nhật ký dừng máy'!$K$6:$K$1005,"Ngoài kế hoạch"))</f>
        <v/>
      </c>
      <c r="R336" s="30" t="str">
        <f>IF($C336="","",COUNTIFS('3 Nhật ký dừng máy'!$A$6:$A$1005,$A336,'3 Nhật ký dừng máy'!$B$6:$B$1005,$B336,'3 Nhật ký dừng máy'!$C$6:$C$1005,$C336,'3 Nhật ký dừng máy'!$K$6:$K$1005,"Ngoài kế hoạch"))</f>
        <v/>
      </c>
      <c r="S336" s="31" t="str">
        <f t="shared" si="59"/>
        <v/>
      </c>
      <c r="T336" s="31" t="str">
        <f t="shared" si="60"/>
        <v/>
      </c>
      <c r="U336" s="31" t="str">
        <f t="shared" si="61"/>
        <v/>
      </c>
      <c r="V336" s="32" t="str">
        <f t="shared" si="62"/>
        <v/>
      </c>
      <c r="W336" s="30" t="str">
        <f t="shared" si="63"/>
        <v/>
      </c>
      <c r="X336" s="33" t="str">
        <f t="shared" si="64"/>
        <v/>
      </c>
      <c r="Y336" s="34" t="str">
        <f t="shared" si="65"/>
        <v/>
      </c>
    </row>
    <row r="337" spans="1:25" x14ac:dyDescent="0.2">
      <c r="A337" s="35"/>
      <c r="B337" s="21"/>
      <c r="C337" s="18"/>
      <c r="D337" s="21"/>
      <c r="E337" s="21"/>
      <c r="F337" s="21"/>
      <c r="G337" s="36"/>
      <c r="H337" s="36"/>
      <c r="I337" s="36"/>
      <c r="J337" s="37"/>
      <c r="K337" s="18"/>
      <c r="L337" s="28" t="str">
        <f t="shared" si="55"/>
        <v/>
      </c>
      <c r="M337" s="29" t="str">
        <f t="shared" si="56"/>
        <v/>
      </c>
      <c r="N337" s="29" t="str">
        <f t="shared" si="57"/>
        <v/>
      </c>
      <c r="O337" s="30" t="str">
        <f t="shared" si="58"/>
        <v/>
      </c>
      <c r="P337" s="28" t="str">
        <f>IF($C337="","",IFERROR(INDEX(CA_TG,MATCH(B337,DS_CA,0))-INDEX(CA_NGHI,MATCH(B337,DS_CA,0))-SUMIFS('3 Nhật ký dừng máy'!$I$6:$I$1005,'3 Nhật ký dừng máy'!$A$6:$A$1005,$A337,'3 Nhật ký dừng máy'!$B$6:$B$1005,$B337,'3 Nhật ký dừng máy'!$C$6:$C$1005,$C337,'3 Nhật ký dừng máy'!$K$6:$K$1005,"Có kế hoạch"),"?"))</f>
        <v/>
      </c>
      <c r="Q337" s="28" t="str">
        <f>IF($C337="","",SUMIFS('3 Nhật ký dừng máy'!$I$6:$I$1005,'3 Nhật ký dừng máy'!$A$6:$A$1005,$A337,'3 Nhật ký dừng máy'!$B$6:$B$1005,$B337,'3 Nhật ký dừng máy'!$C$6:$C$1005,$C337,'3 Nhật ký dừng máy'!$K$6:$K$1005,"Ngoài kế hoạch"))</f>
        <v/>
      </c>
      <c r="R337" s="30" t="str">
        <f>IF($C337="","",COUNTIFS('3 Nhật ký dừng máy'!$A$6:$A$1005,$A337,'3 Nhật ký dừng máy'!$B$6:$B$1005,$B337,'3 Nhật ký dừng máy'!$C$6:$C$1005,$C337,'3 Nhật ký dừng máy'!$K$6:$K$1005,"Ngoài kế hoạch"))</f>
        <v/>
      </c>
      <c r="S337" s="31" t="str">
        <f t="shared" si="59"/>
        <v/>
      </c>
      <c r="T337" s="31" t="str">
        <f t="shared" si="60"/>
        <v/>
      </c>
      <c r="U337" s="31" t="str">
        <f t="shared" si="61"/>
        <v/>
      </c>
      <c r="V337" s="32" t="str">
        <f t="shared" si="62"/>
        <v/>
      </c>
      <c r="W337" s="30" t="str">
        <f t="shared" si="63"/>
        <v/>
      </c>
      <c r="X337" s="33" t="str">
        <f t="shared" si="64"/>
        <v/>
      </c>
      <c r="Y337" s="34" t="str">
        <f t="shared" si="65"/>
        <v/>
      </c>
    </row>
    <row r="338" spans="1:25" x14ac:dyDescent="0.2">
      <c r="A338" s="35"/>
      <c r="B338" s="21"/>
      <c r="C338" s="18"/>
      <c r="D338" s="21"/>
      <c r="E338" s="21"/>
      <c r="F338" s="21"/>
      <c r="G338" s="36"/>
      <c r="H338" s="36"/>
      <c r="I338" s="36"/>
      <c r="J338" s="37"/>
      <c r="K338" s="18"/>
      <c r="L338" s="28" t="str">
        <f t="shared" si="55"/>
        <v/>
      </c>
      <c r="M338" s="29" t="str">
        <f t="shared" si="56"/>
        <v/>
      </c>
      <c r="N338" s="29" t="str">
        <f t="shared" si="57"/>
        <v/>
      </c>
      <c r="O338" s="30" t="str">
        <f t="shared" si="58"/>
        <v/>
      </c>
      <c r="P338" s="28" t="str">
        <f>IF($C338="","",IFERROR(INDEX(CA_TG,MATCH(B338,DS_CA,0))-INDEX(CA_NGHI,MATCH(B338,DS_CA,0))-SUMIFS('3 Nhật ký dừng máy'!$I$6:$I$1005,'3 Nhật ký dừng máy'!$A$6:$A$1005,$A338,'3 Nhật ký dừng máy'!$B$6:$B$1005,$B338,'3 Nhật ký dừng máy'!$C$6:$C$1005,$C338,'3 Nhật ký dừng máy'!$K$6:$K$1005,"Có kế hoạch"),"?"))</f>
        <v/>
      </c>
      <c r="Q338" s="28" t="str">
        <f>IF($C338="","",SUMIFS('3 Nhật ký dừng máy'!$I$6:$I$1005,'3 Nhật ký dừng máy'!$A$6:$A$1005,$A338,'3 Nhật ký dừng máy'!$B$6:$B$1005,$B338,'3 Nhật ký dừng máy'!$C$6:$C$1005,$C338,'3 Nhật ký dừng máy'!$K$6:$K$1005,"Ngoài kế hoạch"))</f>
        <v/>
      </c>
      <c r="R338" s="30" t="str">
        <f>IF($C338="","",COUNTIFS('3 Nhật ký dừng máy'!$A$6:$A$1005,$A338,'3 Nhật ký dừng máy'!$B$6:$B$1005,$B338,'3 Nhật ký dừng máy'!$C$6:$C$1005,$C338,'3 Nhật ký dừng máy'!$K$6:$K$1005,"Ngoài kế hoạch"))</f>
        <v/>
      </c>
      <c r="S338" s="31" t="str">
        <f t="shared" si="59"/>
        <v/>
      </c>
      <c r="T338" s="31" t="str">
        <f t="shared" si="60"/>
        <v/>
      </c>
      <c r="U338" s="31" t="str">
        <f t="shared" si="61"/>
        <v/>
      </c>
      <c r="V338" s="32" t="str">
        <f t="shared" si="62"/>
        <v/>
      </c>
      <c r="W338" s="30" t="str">
        <f t="shared" si="63"/>
        <v/>
      </c>
      <c r="X338" s="33" t="str">
        <f t="shared" si="64"/>
        <v/>
      </c>
      <c r="Y338" s="34" t="str">
        <f t="shared" si="65"/>
        <v/>
      </c>
    </row>
    <row r="339" spans="1:25" x14ac:dyDescent="0.2">
      <c r="A339" s="35"/>
      <c r="B339" s="21"/>
      <c r="C339" s="18"/>
      <c r="D339" s="21"/>
      <c r="E339" s="21"/>
      <c r="F339" s="21"/>
      <c r="G339" s="36"/>
      <c r="H339" s="36"/>
      <c r="I339" s="36"/>
      <c r="J339" s="37"/>
      <c r="K339" s="18"/>
      <c r="L339" s="28" t="str">
        <f t="shared" si="55"/>
        <v/>
      </c>
      <c r="M339" s="29" t="str">
        <f t="shared" si="56"/>
        <v/>
      </c>
      <c r="N339" s="29" t="str">
        <f t="shared" si="57"/>
        <v/>
      </c>
      <c r="O339" s="30" t="str">
        <f t="shared" si="58"/>
        <v/>
      </c>
      <c r="P339" s="28" t="str">
        <f>IF($C339="","",IFERROR(INDEX(CA_TG,MATCH(B339,DS_CA,0))-INDEX(CA_NGHI,MATCH(B339,DS_CA,0))-SUMIFS('3 Nhật ký dừng máy'!$I$6:$I$1005,'3 Nhật ký dừng máy'!$A$6:$A$1005,$A339,'3 Nhật ký dừng máy'!$B$6:$B$1005,$B339,'3 Nhật ký dừng máy'!$C$6:$C$1005,$C339,'3 Nhật ký dừng máy'!$K$6:$K$1005,"Có kế hoạch"),"?"))</f>
        <v/>
      </c>
      <c r="Q339" s="28" t="str">
        <f>IF($C339="","",SUMIFS('3 Nhật ký dừng máy'!$I$6:$I$1005,'3 Nhật ký dừng máy'!$A$6:$A$1005,$A339,'3 Nhật ký dừng máy'!$B$6:$B$1005,$B339,'3 Nhật ký dừng máy'!$C$6:$C$1005,$C339,'3 Nhật ký dừng máy'!$K$6:$K$1005,"Ngoài kế hoạch"))</f>
        <v/>
      </c>
      <c r="R339" s="30" t="str">
        <f>IF($C339="","",COUNTIFS('3 Nhật ký dừng máy'!$A$6:$A$1005,$A339,'3 Nhật ký dừng máy'!$B$6:$B$1005,$B339,'3 Nhật ký dừng máy'!$C$6:$C$1005,$C339,'3 Nhật ký dừng máy'!$K$6:$K$1005,"Ngoài kế hoạch"))</f>
        <v/>
      </c>
      <c r="S339" s="31" t="str">
        <f t="shared" si="59"/>
        <v/>
      </c>
      <c r="T339" s="31" t="str">
        <f t="shared" si="60"/>
        <v/>
      </c>
      <c r="U339" s="31" t="str">
        <f t="shared" si="61"/>
        <v/>
      </c>
      <c r="V339" s="32" t="str">
        <f t="shared" si="62"/>
        <v/>
      </c>
      <c r="W339" s="30" t="str">
        <f t="shared" si="63"/>
        <v/>
      </c>
      <c r="X339" s="33" t="str">
        <f t="shared" si="64"/>
        <v/>
      </c>
      <c r="Y339" s="34" t="str">
        <f t="shared" si="65"/>
        <v/>
      </c>
    </row>
    <row r="340" spans="1:25" x14ac:dyDescent="0.2">
      <c r="A340" s="35"/>
      <c r="B340" s="21"/>
      <c r="C340" s="18"/>
      <c r="D340" s="21"/>
      <c r="E340" s="21"/>
      <c r="F340" s="21"/>
      <c r="G340" s="36"/>
      <c r="H340" s="36"/>
      <c r="I340" s="36"/>
      <c r="J340" s="37"/>
      <c r="K340" s="18"/>
      <c r="L340" s="28" t="str">
        <f t="shared" si="55"/>
        <v/>
      </c>
      <c r="M340" s="29" t="str">
        <f t="shared" si="56"/>
        <v/>
      </c>
      <c r="N340" s="29" t="str">
        <f t="shared" si="57"/>
        <v/>
      </c>
      <c r="O340" s="30" t="str">
        <f t="shared" si="58"/>
        <v/>
      </c>
      <c r="P340" s="28" t="str">
        <f>IF($C340="","",IFERROR(INDEX(CA_TG,MATCH(B340,DS_CA,0))-INDEX(CA_NGHI,MATCH(B340,DS_CA,0))-SUMIFS('3 Nhật ký dừng máy'!$I$6:$I$1005,'3 Nhật ký dừng máy'!$A$6:$A$1005,$A340,'3 Nhật ký dừng máy'!$B$6:$B$1005,$B340,'3 Nhật ký dừng máy'!$C$6:$C$1005,$C340,'3 Nhật ký dừng máy'!$K$6:$K$1005,"Có kế hoạch"),"?"))</f>
        <v/>
      </c>
      <c r="Q340" s="28" t="str">
        <f>IF($C340="","",SUMIFS('3 Nhật ký dừng máy'!$I$6:$I$1005,'3 Nhật ký dừng máy'!$A$6:$A$1005,$A340,'3 Nhật ký dừng máy'!$B$6:$B$1005,$B340,'3 Nhật ký dừng máy'!$C$6:$C$1005,$C340,'3 Nhật ký dừng máy'!$K$6:$K$1005,"Ngoài kế hoạch"))</f>
        <v/>
      </c>
      <c r="R340" s="30" t="str">
        <f>IF($C340="","",COUNTIFS('3 Nhật ký dừng máy'!$A$6:$A$1005,$A340,'3 Nhật ký dừng máy'!$B$6:$B$1005,$B340,'3 Nhật ký dừng máy'!$C$6:$C$1005,$C340,'3 Nhật ký dừng máy'!$K$6:$K$1005,"Ngoài kế hoạch"))</f>
        <v/>
      </c>
      <c r="S340" s="31" t="str">
        <f t="shared" si="59"/>
        <v/>
      </c>
      <c r="T340" s="31" t="str">
        <f t="shared" si="60"/>
        <v/>
      </c>
      <c r="U340" s="31" t="str">
        <f t="shared" si="61"/>
        <v/>
      </c>
      <c r="V340" s="32" t="str">
        <f t="shared" si="62"/>
        <v/>
      </c>
      <c r="W340" s="30" t="str">
        <f t="shared" si="63"/>
        <v/>
      </c>
      <c r="X340" s="33" t="str">
        <f t="shared" si="64"/>
        <v/>
      </c>
      <c r="Y340" s="34" t="str">
        <f t="shared" si="65"/>
        <v/>
      </c>
    </row>
    <row r="341" spans="1:25" x14ac:dyDescent="0.2">
      <c r="A341" s="35"/>
      <c r="B341" s="21"/>
      <c r="C341" s="18"/>
      <c r="D341" s="21"/>
      <c r="E341" s="21"/>
      <c r="F341" s="21"/>
      <c r="G341" s="36"/>
      <c r="H341" s="36"/>
      <c r="I341" s="36"/>
      <c r="J341" s="37"/>
      <c r="K341" s="18"/>
      <c r="L341" s="28" t="str">
        <f t="shared" si="55"/>
        <v/>
      </c>
      <c r="M341" s="29" t="str">
        <f t="shared" si="56"/>
        <v/>
      </c>
      <c r="N341" s="29" t="str">
        <f t="shared" si="57"/>
        <v/>
      </c>
      <c r="O341" s="30" t="str">
        <f t="shared" si="58"/>
        <v/>
      </c>
      <c r="P341" s="28" t="str">
        <f>IF($C341="","",IFERROR(INDEX(CA_TG,MATCH(B341,DS_CA,0))-INDEX(CA_NGHI,MATCH(B341,DS_CA,0))-SUMIFS('3 Nhật ký dừng máy'!$I$6:$I$1005,'3 Nhật ký dừng máy'!$A$6:$A$1005,$A341,'3 Nhật ký dừng máy'!$B$6:$B$1005,$B341,'3 Nhật ký dừng máy'!$C$6:$C$1005,$C341,'3 Nhật ký dừng máy'!$K$6:$K$1005,"Có kế hoạch"),"?"))</f>
        <v/>
      </c>
      <c r="Q341" s="28" t="str">
        <f>IF($C341="","",SUMIFS('3 Nhật ký dừng máy'!$I$6:$I$1005,'3 Nhật ký dừng máy'!$A$6:$A$1005,$A341,'3 Nhật ký dừng máy'!$B$6:$B$1005,$B341,'3 Nhật ký dừng máy'!$C$6:$C$1005,$C341,'3 Nhật ký dừng máy'!$K$6:$K$1005,"Ngoài kế hoạch"))</f>
        <v/>
      </c>
      <c r="R341" s="30" t="str">
        <f>IF($C341="","",COUNTIFS('3 Nhật ký dừng máy'!$A$6:$A$1005,$A341,'3 Nhật ký dừng máy'!$B$6:$B$1005,$B341,'3 Nhật ký dừng máy'!$C$6:$C$1005,$C341,'3 Nhật ký dừng máy'!$K$6:$K$1005,"Ngoài kế hoạch"))</f>
        <v/>
      </c>
      <c r="S341" s="31" t="str">
        <f t="shared" si="59"/>
        <v/>
      </c>
      <c r="T341" s="31" t="str">
        <f t="shared" si="60"/>
        <v/>
      </c>
      <c r="U341" s="31" t="str">
        <f t="shared" si="61"/>
        <v/>
      </c>
      <c r="V341" s="32" t="str">
        <f t="shared" si="62"/>
        <v/>
      </c>
      <c r="W341" s="30" t="str">
        <f t="shared" si="63"/>
        <v/>
      </c>
      <c r="X341" s="33" t="str">
        <f t="shared" si="64"/>
        <v/>
      </c>
      <c r="Y341" s="34" t="str">
        <f t="shared" si="65"/>
        <v/>
      </c>
    </row>
    <row r="342" spans="1:25" x14ac:dyDescent="0.2">
      <c r="A342" s="35"/>
      <c r="B342" s="21"/>
      <c r="C342" s="18"/>
      <c r="D342" s="21"/>
      <c r="E342" s="21"/>
      <c r="F342" s="21"/>
      <c r="G342" s="36"/>
      <c r="H342" s="36"/>
      <c r="I342" s="36"/>
      <c r="J342" s="37"/>
      <c r="K342" s="18"/>
      <c r="L342" s="28" t="str">
        <f t="shared" si="55"/>
        <v/>
      </c>
      <c r="M342" s="29" t="str">
        <f t="shared" si="56"/>
        <v/>
      </c>
      <c r="N342" s="29" t="str">
        <f t="shared" si="57"/>
        <v/>
      </c>
      <c r="O342" s="30" t="str">
        <f t="shared" si="58"/>
        <v/>
      </c>
      <c r="P342" s="28" t="str">
        <f>IF($C342="","",IFERROR(INDEX(CA_TG,MATCH(B342,DS_CA,0))-INDEX(CA_NGHI,MATCH(B342,DS_CA,0))-SUMIFS('3 Nhật ký dừng máy'!$I$6:$I$1005,'3 Nhật ký dừng máy'!$A$6:$A$1005,$A342,'3 Nhật ký dừng máy'!$B$6:$B$1005,$B342,'3 Nhật ký dừng máy'!$C$6:$C$1005,$C342,'3 Nhật ký dừng máy'!$K$6:$K$1005,"Có kế hoạch"),"?"))</f>
        <v/>
      </c>
      <c r="Q342" s="28" t="str">
        <f>IF($C342="","",SUMIFS('3 Nhật ký dừng máy'!$I$6:$I$1005,'3 Nhật ký dừng máy'!$A$6:$A$1005,$A342,'3 Nhật ký dừng máy'!$B$6:$B$1005,$B342,'3 Nhật ký dừng máy'!$C$6:$C$1005,$C342,'3 Nhật ký dừng máy'!$K$6:$K$1005,"Ngoài kế hoạch"))</f>
        <v/>
      </c>
      <c r="R342" s="30" t="str">
        <f>IF($C342="","",COUNTIFS('3 Nhật ký dừng máy'!$A$6:$A$1005,$A342,'3 Nhật ký dừng máy'!$B$6:$B$1005,$B342,'3 Nhật ký dừng máy'!$C$6:$C$1005,$C342,'3 Nhật ký dừng máy'!$K$6:$K$1005,"Ngoài kế hoạch"))</f>
        <v/>
      </c>
      <c r="S342" s="31" t="str">
        <f t="shared" si="59"/>
        <v/>
      </c>
      <c r="T342" s="31" t="str">
        <f t="shared" si="60"/>
        <v/>
      </c>
      <c r="U342" s="31" t="str">
        <f t="shared" si="61"/>
        <v/>
      </c>
      <c r="V342" s="32" t="str">
        <f t="shared" si="62"/>
        <v/>
      </c>
      <c r="W342" s="30" t="str">
        <f t="shared" si="63"/>
        <v/>
      </c>
      <c r="X342" s="33" t="str">
        <f t="shared" si="64"/>
        <v/>
      </c>
      <c r="Y342" s="34" t="str">
        <f t="shared" si="65"/>
        <v/>
      </c>
    </row>
    <row r="343" spans="1:25" x14ac:dyDescent="0.2">
      <c r="A343" s="35"/>
      <c r="B343" s="21"/>
      <c r="C343" s="18"/>
      <c r="D343" s="21"/>
      <c r="E343" s="21"/>
      <c r="F343" s="21"/>
      <c r="G343" s="36"/>
      <c r="H343" s="36"/>
      <c r="I343" s="36"/>
      <c r="J343" s="37"/>
      <c r="K343" s="18"/>
      <c r="L343" s="28" t="str">
        <f t="shared" si="55"/>
        <v/>
      </c>
      <c r="M343" s="29" t="str">
        <f t="shared" si="56"/>
        <v/>
      </c>
      <c r="N343" s="29" t="str">
        <f t="shared" si="57"/>
        <v/>
      </c>
      <c r="O343" s="30" t="str">
        <f t="shared" si="58"/>
        <v/>
      </c>
      <c r="P343" s="28" t="str">
        <f>IF($C343="","",IFERROR(INDEX(CA_TG,MATCH(B343,DS_CA,0))-INDEX(CA_NGHI,MATCH(B343,DS_CA,0))-SUMIFS('3 Nhật ký dừng máy'!$I$6:$I$1005,'3 Nhật ký dừng máy'!$A$6:$A$1005,$A343,'3 Nhật ký dừng máy'!$B$6:$B$1005,$B343,'3 Nhật ký dừng máy'!$C$6:$C$1005,$C343,'3 Nhật ký dừng máy'!$K$6:$K$1005,"Có kế hoạch"),"?"))</f>
        <v/>
      </c>
      <c r="Q343" s="28" t="str">
        <f>IF($C343="","",SUMIFS('3 Nhật ký dừng máy'!$I$6:$I$1005,'3 Nhật ký dừng máy'!$A$6:$A$1005,$A343,'3 Nhật ký dừng máy'!$B$6:$B$1005,$B343,'3 Nhật ký dừng máy'!$C$6:$C$1005,$C343,'3 Nhật ký dừng máy'!$K$6:$K$1005,"Ngoài kế hoạch"))</f>
        <v/>
      </c>
      <c r="R343" s="30" t="str">
        <f>IF($C343="","",COUNTIFS('3 Nhật ký dừng máy'!$A$6:$A$1005,$A343,'3 Nhật ký dừng máy'!$B$6:$B$1005,$B343,'3 Nhật ký dừng máy'!$C$6:$C$1005,$C343,'3 Nhật ký dừng máy'!$K$6:$K$1005,"Ngoài kế hoạch"))</f>
        <v/>
      </c>
      <c r="S343" s="31" t="str">
        <f t="shared" si="59"/>
        <v/>
      </c>
      <c r="T343" s="31" t="str">
        <f t="shared" si="60"/>
        <v/>
      </c>
      <c r="U343" s="31" t="str">
        <f t="shared" si="61"/>
        <v/>
      </c>
      <c r="V343" s="32" t="str">
        <f t="shared" si="62"/>
        <v/>
      </c>
      <c r="W343" s="30" t="str">
        <f t="shared" si="63"/>
        <v/>
      </c>
      <c r="X343" s="33" t="str">
        <f t="shared" si="64"/>
        <v/>
      </c>
      <c r="Y343" s="34" t="str">
        <f t="shared" si="65"/>
        <v/>
      </c>
    </row>
    <row r="344" spans="1:25" x14ac:dyDescent="0.2">
      <c r="A344" s="35"/>
      <c r="B344" s="21"/>
      <c r="C344" s="18"/>
      <c r="D344" s="21"/>
      <c r="E344" s="21"/>
      <c r="F344" s="21"/>
      <c r="G344" s="36"/>
      <c r="H344" s="36"/>
      <c r="I344" s="36"/>
      <c r="J344" s="37"/>
      <c r="K344" s="18"/>
      <c r="L344" s="28" t="str">
        <f t="shared" si="55"/>
        <v/>
      </c>
      <c r="M344" s="29" t="str">
        <f t="shared" si="56"/>
        <v/>
      </c>
      <c r="N344" s="29" t="str">
        <f t="shared" si="57"/>
        <v/>
      </c>
      <c r="O344" s="30" t="str">
        <f t="shared" si="58"/>
        <v/>
      </c>
      <c r="P344" s="28" t="str">
        <f>IF($C344="","",IFERROR(INDEX(CA_TG,MATCH(B344,DS_CA,0))-INDEX(CA_NGHI,MATCH(B344,DS_CA,0))-SUMIFS('3 Nhật ký dừng máy'!$I$6:$I$1005,'3 Nhật ký dừng máy'!$A$6:$A$1005,$A344,'3 Nhật ký dừng máy'!$B$6:$B$1005,$B344,'3 Nhật ký dừng máy'!$C$6:$C$1005,$C344,'3 Nhật ký dừng máy'!$K$6:$K$1005,"Có kế hoạch"),"?"))</f>
        <v/>
      </c>
      <c r="Q344" s="28" t="str">
        <f>IF($C344="","",SUMIFS('3 Nhật ký dừng máy'!$I$6:$I$1005,'3 Nhật ký dừng máy'!$A$6:$A$1005,$A344,'3 Nhật ký dừng máy'!$B$6:$B$1005,$B344,'3 Nhật ký dừng máy'!$C$6:$C$1005,$C344,'3 Nhật ký dừng máy'!$K$6:$K$1005,"Ngoài kế hoạch"))</f>
        <v/>
      </c>
      <c r="R344" s="30" t="str">
        <f>IF($C344="","",COUNTIFS('3 Nhật ký dừng máy'!$A$6:$A$1005,$A344,'3 Nhật ký dừng máy'!$B$6:$B$1005,$B344,'3 Nhật ký dừng máy'!$C$6:$C$1005,$C344,'3 Nhật ký dừng máy'!$K$6:$K$1005,"Ngoài kế hoạch"))</f>
        <v/>
      </c>
      <c r="S344" s="31" t="str">
        <f t="shared" si="59"/>
        <v/>
      </c>
      <c r="T344" s="31" t="str">
        <f t="shared" si="60"/>
        <v/>
      </c>
      <c r="U344" s="31" t="str">
        <f t="shared" si="61"/>
        <v/>
      </c>
      <c r="V344" s="32" t="str">
        <f t="shared" si="62"/>
        <v/>
      </c>
      <c r="W344" s="30" t="str">
        <f t="shared" si="63"/>
        <v/>
      </c>
      <c r="X344" s="33" t="str">
        <f t="shared" si="64"/>
        <v/>
      </c>
      <c r="Y344" s="34" t="str">
        <f t="shared" si="65"/>
        <v/>
      </c>
    </row>
    <row r="345" spans="1:25" x14ac:dyDescent="0.2">
      <c r="A345" s="35"/>
      <c r="B345" s="21"/>
      <c r="C345" s="18"/>
      <c r="D345" s="21"/>
      <c r="E345" s="21"/>
      <c r="F345" s="21"/>
      <c r="G345" s="36"/>
      <c r="H345" s="36"/>
      <c r="I345" s="36"/>
      <c r="J345" s="37"/>
      <c r="K345" s="18"/>
      <c r="L345" s="28" t="str">
        <f t="shared" si="55"/>
        <v/>
      </c>
      <c r="M345" s="29" t="str">
        <f t="shared" si="56"/>
        <v/>
      </c>
      <c r="N345" s="29" t="str">
        <f t="shared" si="57"/>
        <v/>
      </c>
      <c r="O345" s="30" t="str">
        <f t="shared" si="58"/>
        <v/>
      </c>
      <c r="P345" s="28" t="str">
        <f>IF($C345="","",IFERROR(INDEX(CA_TG,MATCH(B345,DS_CA,0))-INDEX(CA_NGHI,MATCH(B345,DS_CA,0))-SUMIFS('3 Nhật ký dừng máy'!$I$6:$I$1005,'3 Nhật ký dừng máy'!$A$6:$A$1005,$A345,'3 Nhật ký dừng máy'!$B$6:$B$1005,$B345,'3 Nhật ký dừng máy'!$C$6:$C$1005,$C345,'3 Nhật ký dừng máy'!$K$6:$K$1005,"Có kế hoạch"),"?"))</f>
        <v/>
      </c>
      <c r="Q345" s="28" t="str">
        <f>IF($C345="","",SUMIFS('3 Nhật ký dừng máy'!$I$6:$I$1005,'3 Nhật ký dừng máy'!$A$6:$A$1005,$A345,'3 Nhật ký dừng máy'!$B$6:$B$1005,$B345,'3 Nhật ký dừng máy'!$C$6:$C$1005,$C345,'3 Nhật ký dừng máy'!$K$6:$K$1005,"Ngoài kế hoạch"))</f>
        <v/>
      </c>
      <c r="R345" s="30" t="str">
        <f>IF($C345="","",COUNTIFS('3 Nhật ký dừng máy'!$A$6:$A$1005,$A345,'3 Nhật ký dừng máy'!$B$6:$B$1005,$B345,'3 Nhật ký dừng máy'!$C$6:$C$1005,$C345,'3 Nhật ký dừng máy'!$K$6:$K$1005,"Ngoài kế hoạch"))</f>
        <v/>
      </c>
      <c r="S345" s="31" t="str">
        <f t="shared" si="59"/>
        <v/>
      </c>
      <c r="T345" s="31" t="str">
        <f t="shared" si="60"/>
        <v/>
      </c>
      <c r="U345" s="31" t="str">
        <f t="shared" si="61"/>
        <v/>
      </c>
      <c r="V345" s="32" t="str">
        <f t="shared" si="62"/>
        <v/>
      </c>
      <c r="W345" s="30" t="str">
        <f t="shared" si="63"/>
        <v/>
      </c>
      <c r="X345" s="33" t="str">
        <f t="shared" si="64"/>
        <v/>
      </c>
      <c r="Y345" s="34" t="str">
        <f t="shared" si="65"/>
        <v/>
      </c>
    </row>
    <row r="346" spans="1:25" x14ac:dyDescent="0.2">
      <c r="A346" s="35"/>
      <c r="B346" s="21"/>
      <c r="C346" s="18"/>
      <c r="D346" s="21"/>
      <c r="E346" s="21"/>
      <c r="F346" s="21"/>
      <c r="G346" s="36"/>
      <c r="H346" s="36"/>
      <c r="I346" s="36"/>
      <c r="J346" s="37"/>
      <c r="K346" s="18"/>
      <c r="L346" s="28" t="str">
        <f t="shared" si="55"/>
        <v/>
      </c>
      <c r="M346" s="29" t="str">
        <f t="shared" si="56"/>
        <v/>
      </c>
      <c r="N346" s="29" t="str">
        <f t="shared" si="57"/>
        <v/>
      </c>
      <c r="O346" s="30" t="str">
        <f t="shared" si="58"/>
        <v/>
      </c>
      <c r="P346" s="28" t="str">
        <f>IF($C346="","",IFERROR(INDEX(CA_TG,MATCH(B346,DS_CA,0))-INDEX(CA_NGHI,MATCH(B346,DS_CA,0))-SUMIFS('3 Nhật ký dừng máy'!$I$6:$I$1005,'3 Nhật ký dừng máy'!$A$6:$A$1005,$A346,'3 Nhật ký dừng máy'!$B$6:$B$1005,$B346,'3 Nhật ký dừng máy'!$C$6:$C$1005,$C346,'3 Nhật ký dừng máy'!$K$6:$K$1005,"Có kế hoạch"),"?"))</f>
        <v/>
      </c>
      <c r="Q346" s="28" t="str">
        <f>IF($C346="","",SUMIFS('3 Nhật ký dừng máy'!$I$6:$I$1005,'3 Nhật ký dừng máy'!$A$6:$A$1005,$A346,'3 Nhật ký dừng máy'!$B$6:$B$1005,$B346,'3 Nhật ký dừng máy'!$C$6:$C$1005,$C346,'3 Nhật ký dừng máy'!$K$6:$K$1005,"Ngoài kế hoạch"))</f>
        <v/>
      </c>
      <c r="R346" s="30" t="str">
        <f>IF($C346="","",COUNTIFS('3 Nhật ký dừng máy'!$A$6:$A$1005,$A346,'3 Nhật ký dừng máy'!$B$6:$B$1005,$B346,'3 Nhật ký dừng máy'!$C$6:$C$1005,$C346,'3 Nhật ký dừng máy'!$K$6:$K$1005,"Ngoài kế hoạch"))</f>
        <v/>
      </c>
      <c r="S346" s="31" t="str">
        <f t="shared" si="59"/>
        <v/>
      </c>
      <c r="T346" s="31" t="str">
        <f t="shared" si="60"/>
        <v/>
      </c>
      <c r="U346" s="31" t="str">
        <f t="shared" si="61"/>
        <v/>
      </c>
      <c r="V346" s="32" t="str">
        <f t="shared" si="62"/>
        <v/>
      </c>
      <c r="W346" s="30" t="str">
        <f t="shared" si="63"/>
        <v/>
      </c>
      <c r="X346" s="33" t="str">
        <f t="shared" si="64"/>
        <v/>
      </c>
      <c r="Y346" s="34" t="str">
        <f t="shared" si="65"/>
        <v/>
      </c>
    </row>
    <row r="347" spans="1:25" x14ac:dyDescent="0.2">
      <c r="A347" s="35"/>
      <c r="B347" s="21"/>
      <c r="C347" s="18"/>
      <c r="D347" s="21"/>
      <c r="E347" s="21"/>
      <c r="F347" s="21"/>
      <c r="G347" s="36"/>
      <c r="H347" s="36"/>
      <c r="I347" s="36"/>
      <c r="J347" s="37"/>
      <c r="K347" s="18"/>
      <c r="L347" s="28" t="str">
        <f t="shared" si="55"/>
        <v/>
      </c>
      <c r="M347" s="29" t="str">
        <f t="shared" si="56"/>
        <v/>
      </c>
      <c r="N347" s="29" t="str">
        <f t="shared" si="57"/>
        <v/>
      </c>
      <c r="O347" s="30" t="str">
        <f t="shared" si="58"/>
        <v/>
      </c>
      <c r="P347" s="28" t="str">
        <f>IF($C347="","",IFERROR(INDEX(CA_TG,MATCH(B347,DS_CA,0))-INDEX(CA_NGHI,MATCH(B347,DS_CA,0))-SUMIFS('3 Nhật ký dừng máy'!$I$6:$I$1005,'3 Nhật ký dừng máy'!$A$6:$A$1005,$A347,'3 Nhật ký dừng máy'!$B$6:$B$1005,$B347,'3 Nhật ký dừng máy'!$C$6:$C$1005,$C347,'3 Nhật ký dừng máy'!$K$6:$K$1005,"Có kế hoạch"),"?"))</f>
        <v/>
      </c>
      <c r="Q347" s="28" t="str">
        <f>IF($C347="","",SUMIFS('3 Nhật ký dừng máy'!$I$6:$I$1005,'3 Nhật ký dừng máy'!$A$6:$A$1005,$A347,'3 Nhật ký dừng máy'!$B$6:$B$1005,$B347,'3 Nhật ký dừng máy'!$C$6:$C$1005,$C347,'3 Nhật ký dừng máy'!$K$6:$K$1005,"Ngoài kế hoạch"))</f>
        <v/>
      </c>
      <c r="R347" s="30" t="str">
        <f>IF($C347="","",COUNTIFS('3 Nhật ký dừng máy'!$A$6:$A$1005,$A347,'3 Nhật ký dừng máy'!$B$6:$B$1005,$B347,'3 Nhật ký dừng máy'!$C$6:$C$1005,$C347,'3 Nhật ký dừng máy'!$K$6:$K$1005,"Ngoài kế hoạch"))</f>
        <v/>
      </c>
      <c r="S347" s="31" t="str">
        <f t="shared" si="59"/>
        <v/>
      </c>
      <c r="T347" s="31" t="str">
        <f t="shared" si="60"/>
        <v/>
      </c>
      <c r="U347" s="31" t="str">
        <f t="shared" si="61"/>
        <v/>
      </c>
      <c r="V347" s="32" t="str">
        <f t="shared" si="62"/>
        <v/>
      </c>
      <c r="W347" s="30" t="str">
        <f t="shared" si="63"/>
        <v/>
      </c>
      <c r="X347" s="33" t="str">
        <f t="shared" si="64"/>
        <v/>
      </c>
      <c r="Y347" s="34" t="str">
        <f t="shared" si="65"/>
        <v/>
      </c>
    </row>
    <row r="348" spans="1:25" x14ac:dyDescent="0.2">
      <c r="A348" s="35"/>
      <c r="B348" s="21"/>
      <c r="C348" s="18"/>
      <c r="D348" s="21"/>
      <c r="E348" s="21"/>
      <c r="F348" s="21"/>
      <c r="G348" s="36"/>
      <c r="H348" s="36"/>
      <c r="I348" s="36"/>
      <c r="J348" s="37"/>
      <c r="K348" s="18"/>
      <c r="L348" s="28" t="str">
        <f t="shared" si="55"/>
        <v/>
      </c>
      <c r="M348" s="29" t="str">
        <f t="shared" si="56"/>
        <v/>
      </c>
      <c r="N348" s="29" t="str">
        <f t="shared" si="57"/>
        <v/>
      </c>
      <c r="O348" s="30" t="str">
        <f t="shared" si="58"/>
        <v/>
      </c>
      <c r="P348" s="28" t="str">
        <f>IF($C348="","",IFERROR(INDEX(CA_TG,MATCH(B348,DS_CA,0))-INDEX(CA_NGHI,MATCH(B348,DS_CA,0))-SUMIFS('3 Nhật ký dừng máy'!$I$6:$I$1005,'3 Nhật ký dừng máy'!$A$6:$A$1005,$A348,'3 Nhật ký dừng máy'!$B$6:$B$1005,$B348,'3 Nhật ký dừng máy'!$C$6:$C$1005,$C348,'3 Nhật ký dừng máy'!$K$6:$K$1005,"Có kế hoạch"),"?"))</f>
        <v/>
      </c>
      <c r="Q348" s="28" t="str">
        <f>IF($C348="","",SUMIFS('3 Nhật ký dừng máy'!$I$6:$I$1005,'3 Nhật ký dừng máy'!$A$6:$A$1005,$A348,'3 Nhật ký dừng máy'!$B$6:$B$1005,$B348,'3 Nhật ký dừng máy'!$C$6:$C$1005,$C348,'3 Nhật ký dừng máy'!$K$6:$K$1005,"Ngoài kế hoạch"))</f>
        <v/>
      </c>
      <c r="R348" s="30" t="str">
        <f>IF($C348="","",COUNTIFS('3 Nhật ký dừng máy'!$A$6:$A$1005,$A348,'3 Nhật ký dừng máy'!$B$6:$B$1005,$B348,'3 Nhật ký dừng máy'!$C$6:$C$1005,$C348,'3 Nhật ký dừng máy'!$K$6:$K$1005,"Ngoài kế hoạch"))</f>
        <v/>
      </c>
      <c r="S348" s="31" t="str">
        <f t="shared" si="59"/>
        <v/>
      </c>
      <c r="T348" s="31" t="str">
        <f t="shared" si="60"/>
        <v/>
      </c>
      <c r="U348" s="31" t="str">
        <f t="shared" si="61"/>
        <v/>
      </c>
      <c r="V348" s="32" t="str">
        <f t="shared" si="62"/>
        <v/>
      </c>
      <c r="W348" s="30" t="str">
        <f t="shared" si="63"/>
        <v/>
      </c>
      <c r="X348" s="33" t="str">
        <f t="shared" si="64"/>
        <v/>
      </c>
      <c r="Y348" s="34" t="str">
        <f t="shared" si="65"/>
        <v/>
      </c>
    </row>
    <row r="349" spans="1:25" x14ac:dyDescent="0.2">
      <c r="A349" s="35"/>
      <c r="B349" s="21"/>
      <c r="C349" s="18"/>
      <c r="D349" s="21"/>
      <c r="E349" s="21"/>
      <c r="F349" s="21"/>
      <c r="G349" s="36"/>
      <c r="H349" s="36"/>
      <c r="I349" s="36"/>
      <c r="J349" s="37"/>
      <c r="K349" s="18"/>
      <c r="L349" s="28" t="str">
        <f t="shared" si="55"/>
        <v/>
      </c>
      <c r="M349" s="29" t="str">
        <f t="shared" si="56"/>
        <v/>
      </c>
      <c r="N349" s="29" t="str">
        <f t="shared" si="57"/>
        <v/>
      </c>
      <c r="O349" s="30" t="str">
        <f t="shared" si="58"/>
        <v/>
      </c>
      <c r="P349" s="28" t="str">
        <f>IF($C349="","",IFERROR(INDEX(CA_TG,MATCH(B349,DS_CA,0))-INDEX(CA_NGHI,MATCH(B349,DS_CA,0))-SUMIFS('3 Nhật ký dừng máy'!$I$6:$I$1005,'3 Nhật ký dừng máy'!$A$6:$A$1005,$A349,'3 Nhật ký dừng máy'!$B$6:$B$1005,$B349,'3 Nhật ký dừng máy'!$C$6:$C$1005,$C349,'3 Nhật ký dừng máy'!$K$6:$K$1005,"Có kế hoạch"),"?"))</f>
        <v/>
      </c>
      <c r="Q349" s="28" t="str">
        <f>IF($C349="","",SUMIFS('3 Nhật ký dừng máy'!$I$6:$I$1005,'3 Nhật ký dừng máy'!$A$6:$A$1005,$A349,'3 Nhật ký dừng máy'!$B$6:$B$1005,$B349,'3 Nhật ký dừng máy'!$C$6:$C$1005,$C349,'3 Nhật ký dừng máy'!$K$6:$K$1005,"Ngoài kế hoạch"))</f>
        <v/>
      </c>
      <c r="R349" s="30" t="str">
        <f>IF($C349="","",COUNTIFS('3 Nhật ký dừng máy'!$A$6:$A$1005,$A349,'3 Nhật ký dừng máy'!$B$6:$B$1005,$B349,'3 Nhật ký dừng máy'!$C$6:$C$1005,$C349,'3 Nhật ký dừng máy'!$K$6:$K$1005,"Ngoài kế hoạch"))</f>
        <v/>
      </c>
      <c r="S349" s="31" t="str">
        <f t="shared" si="59"/>
        <v/>
      </c>
      <c r="T349" s="31" t="str">
        <f t="shared" si="60"/>
        <v/>
      </c>
      <c r="U349" s="31" t="str">
        <f t="shared" si="61"/>
        <v/>
      </c>
      <c r="V349" s="32" t="str">
        <f t="shared" si="62"/>
        <v/>
      </c>
      <c r="W349" s="30" t="str">
        <f t="shared" si="63"/>
        <v/>
      </c>
      <c r="X349" s="33" t="str">
        <f t="shared" si="64"/>
        <v/>
      </c>
      <c r="Y349" s="34" t="str">
        <f t="shared" si="65"/>
        <v/>
      </c>
    </row>
    <row r="350" spans="1:25" x14ac:dyDescent="0.2">
      <c r="A350" s="35"/>
      <c r="B350" s="21"/>
      <c r="C350" s="18"/>
      <c r="D350" s="21"/>
      <c r="E350" s="21"/>
      <c r="F350" s="21"/>
      <c r="G350" s="36"/>
      <c r="H350" s="36"/>
      <c r="I350" s="36"/>
      <c r="J350" s="37"/>
      <c r="K350" s="18"/>
      <c r="L350" s="28" t="str">
        <f t="shared" si="55"/>
        <v/>
      </c>
      <c r="M350" s="29" t="str">
        <f t="shared" si="56"/>
        <v/>
      </c>
      <c r="N350" s="29" t="str">
        <f t="shared" si="57"/>
        <v/>
      </c>
      <c r="O350" s="30" t="str">
        <f t="shared" si="58"/>
        <v/>
      </c>
      <c r="P350" s="28" t="str">
        <f>IF($C350="","",IFERROR(INDEX(CA_TG,MATCH(B350,DS_CA,0))-INDEX(CA_NGHI,MATCH(B350,DS_CA,0))-SUMIFS('3 Nhật ký dừng máy'!$I$6:$I$1005,'3 Nhật ký dừng máy'!$A$6:$A$1005,$A350,'3 Nhật ký dừng máy'!$B$6:$B$1005,$B350,'3 Nhật ký dừng máy'!$C$6:$C$1005,$C350,'3 Nhật ký dừng máy'!$K$6:$K$1005,"Có kế hoạch"),"?"))</f>
        <v/>
      </c>
      <c r="Q350" s="28" t="str">
        <f>IF($C350="","",SUMIFS('3 Nhật ký dừng máy'!$I$6:$I$1005,'3 Nhật ký dừng máy'!$A$6:$A$1005,$A350,'3 Nhật ký dừng máy'!$B$6:$B$1005,$B350,'3 Nhật ký dừng máy'!$C$6:$C$1005,$C350,'3 Nhật ký dừng máy'!$K$6:$K$1005,"Ngoài kế hoạch"))</f>
        <v/>
      </c>
      <c r="R350" s="30" t="str">
        <f>IF($C350="","",COUNTIFS('3 Nhật ký dừng máy'!$A$6:$A$1005,$A350,'3 Nhật ký dừng máy'!$B$6:$B$1005,$B350,'3 Nhật ký dừng máy'!$C$6:$C$1005,$C350,'3 Nhật ký dừng máy'!$K$6:$K$1005,"Ngoài kế hoạch"))</f>
        <v/>
      </c>
      <c r="S350" s="31" t="str">
        <f t="shared" si="59"/>
        <v/>
      </c>
      <c r="T350" s="31" t="str">
        <f t="shared" si="60"/>
        <v/>
      </c>
      <c r="U350" s="31" t="str">
        <f t="shared" si="61"/>
        <v/>
      </c>
      <c r="V350" s="32" t="str">
        <f t="shared" si="62"/>
        <v/>
      </c>
      <c r="W350" s="30" t="str">
        <f t="shared" si="63"/>
        <v/>
      </c>
      <c r="X350" s="33" t="str">
        <f t="shared" si="64"/>
        <v/>
      </c>
      <c r="Y350" s="34" t="str">
        <f t="shared" si="65"/>
        <v/>
      </c>
    </row>
    <row r="351" spans="1:25" x14ac:dyDescent="0.2">
      <c r="A351" s="35"/>
      <c r="B351" s="21"/>
      <c r="C351" s="18"/>
      <c r="D351" s="21"/>
      <c r="E351" s="21"/>
      <c r="F351" s="21"/>
      <c r="G351" s="36"/>
      <c r="H351" s="36"/>
      <c r="I351" s="36"/>
      <c r="J351" s="37"/>
      <c r="K351" s="18"/>
      <c r="L351" s="28" t="str">
        <f t="shared" si="55"/>
        <v/>
      </c>
      <c r="M351" s="29" t="str">
        <f t="shared" si="56"/>
        <v/>
      </c>
      <c r="N351" s="29" t="str">
        <f t="shared" si="57"/>
        <v/>
      </c>
      <c r="O351" s="30" t="str">
        <f t="shared" si="58"/>
        <v/>
      </c>
      <c r="P351" s="28" t="str">
        <f>IF($C351="","",IFERROR(INDEX(CA_TG,MATCH(B351,DS_CA,0))-INDEX(CA_NGHI,MATCH(B351,DS_CA,0))-SUMIFS('3 Nhật ký dừng máy'!$I$6:$I$1005,'3 Nhật ký dừng máy'!$A$6:$A$1005,$A351,'3 Nhật ký dừng máy'!$B$6:$B$1005,$B351,'3 Nhật ký dừng máy'!$C$6:$C$1005,$C351,'3 Nhật ký dừng máy'!$K$6:$K$1005,"Có kế hoạch"),"?"))</f>
        <v/>
      </c>
      <c r="Q351" s="28" t="str">
        <f>IF($C351="","",SUMIFS('3 Nhật ký dừng máy'!$I$6:$I$1005,'3 Nhật ký dừng máy'!$A$6:$A$1005,$A351,'3 Nhật ký dừng máy'!$B$6:$B$1005,$B351,'3 Nhật ký dừng máy'!$C$6:$C$1005,$C351,'3 Nhật ký dừng máy'!$K$6:$K$1005,"Ngoài kế hoạch"))</f>
        <v/>
      </c>
      <c r="R351" s="30" t="str">
        <f>IF($C351="","",COUNTIFS('3 Nhật ký dừng máy'!$A$6:$A$1005,$A351,'3 Nhật ký dừng máy'!$B$6:$B$1005,$B351,'3 Nhật ký dừng máy'!$C$6:$C$1005,$C351,'3 Nhật ký dừng máy'!$K$6:$K$1005,"Ngoài kế hoạch"))</f>
        <v/>
      </c>
      <c r="S351" s="31" t="str">
        <f t="shared" si="59"/>
        <v/>
      </c>
      <c r="T351" s="31" t="str">
        <f t="shared" si="60"/>
        <v/>
      </c>
      <c r="U351" s="31" t="str">
        <f t="shared" si="61"/>
        <v/>
      </c>
      <c r="V351" s="32" t="str">
        <f t="shared" si="62"/>
        <v/>
      </c>
      <c r="W351" s="30" t="str">
        <f t="shared" si="63"/>
        <v/>
      </c>
      <c r="X351" s="33" t="str">
        <f t="shared" si="64"/>
        <v/>
      </c>
      <c r="Y351" s="34" t="str">
        <f t="shared" si="65"/>
        <v/>
      </c>
    </row>
    <row r="352" spans="1:25" x14ac:dyDescent="0.2">
      <c r="A352" s="35"/>
      <c r="B352" s="21"/>
      <c r="C352" s="18"/>
      <c r="D352" s="21"/>
      <c r="E352" s="21"/>
      <c r="F352" s="21"/>
      <c r="G352" s="36"/>
      <c r="H352" s="36"/>
      <c r="I352" s="36"/>
      <c r="J352" s="37"/>
      <c r="K352" s="18"/>
      <c r="L352" s="28" t="str">
        <f t="shared" si="55"/>
        <v/>
      </c>
      <c r="M352" s="29" t="str">
        <f t="shared" si="56"/>
        <v/>
      </c>
      <c r="N352" s="29" t="str">
        <f t="shared" si="57"/>
        <v/>
      </c>
      <c r="O352" s="30" t="str">
        <f t="shared" si="58"/>
        <v/>
      </c>
      <c r="P352" s="28" t="str">
        <f>IF($C352="","",IFERROR(INDEX(CA_TG,MATCH(B352,DS_CA,0))-INDEX(CA_NGHI,MATCH(B352,DS_CA,0))-SUMIFS('3 Nhật ký dừng máy'!$I$6:$I$1005,'3 Nhật ký dừng máy'!$A$6:$A$1005,$A352,'3 Nhật ký dừng máy'!$B$6:$B$1005,$B352,'3 Nhật ký dừng máy'!$C$6:$C$1005,$C352,'3 Nhật ký dừng máy'!$K$6:$K$1005,"Có kế hoạch"),"?"))</f>
        <v/>
      </c>
      <c r="Q352" s="28" t="str">
        <f>IF($C352="","",SUMIFS('3 Nhật ký dừng máy'!$I$6:$I$1005,'3 Nhật ký dừng máy'!$A$6:$A$1005,$A352,'3 Nhật ký dừng máy'!$B$6:$B$1005,$B352,'3 Nhật ký dừng máy'!$C$6:$C$1005,$C352,'3 Nhật ký dừng máy'!$K$6:$K$1005,"Ngoài kế hoạch"))</f>
        <v/>
      </c>
      <c r="R352" s="30" t="str">
        <f>IF($C352="","",COUNTIFS('3 Nhật ký dừng máy'!$A$6:$A$1005,$A352,'3 Nhật ký dừng máy'!$B$6:$B$1005,$B352,'3 Nhật ký dừng máy'!$C$6:$C$1005,$C352,'3 Nhật ký dừng máy'!$K$6:$K$1005,"Ngoài kế hoạch"))</f>
        <v/>
      </c>
      <c r="S352" s="31" t="str">
        <f t="shared" si="59"/>
        <v/>
      </c>
      <c r="T352" s="31" t="str">
        <f t="shared" si="60"/>
        <v/>
      </c>
      <c r="U352" s="31" t="str">
        <f t="shared" si="61"/>
        <v/>
      </c>
      <c r="V352" s="32" t="str">
        <f t="shared" si="62"/>
        <v/>
      </c>
      <c r="W352" s="30" t="str">
        <f t="shared" si="63"/>
        <v/>
      </c>
      <c r="X352" s="33" t="str">
        <f t="shared" si="64"/>
        <v/>
      </c>
      <c r="Y352" s="34" t="str">
        <f t="shared" si="65"/>
        <v/>
      </c>
    </row>
    <row r="353" spans="1:25" x14ac:dyDescent="0.2">
      <c r="A353" s="35"/>
      <c r="B353" s="21"/>
      <c r="C353" s="18"/>
      <c r="D353" s="21"/>
      <c r="E353" s="21"/>
      <c r="F353" s="21"/>
      <c r="G353" s="36"/>
      <c r="H353" s="36"/>
      <c r="I353" s="36"/>
      <c r="J353" s="37"/>
      <c r="K353" s="18"/>
      <c r="L353" s="28" t="str">
        <f t="shared" si="55"/>
        <v/>
      </c>
      <c r="M353" s="29" t="str">
        <f t="shared" si="56"/>
        <v/>
      </c>
      <c r="N353" s="29" t="str">
        <f t="shared" si="57"/>
        <v/>
      </c>
      <c r="O353" s="30" t="str">
        <f t="shared" si="58"/>
        <v/>
      </c>
      <c r="P353" s="28" t="str">
        <f>IF($C353="","",IFERROR(INDEX(CA_TG,MATCH(B353,DS_CA,0))-INDEX(CA_NGHI,MATCH(B353,DS_CA,0))-SUMIFS('3 Nhật ký dừng máy'!$I$6:$I$1005,'3 Nhật ký dừng máy'!$A$6:$A$1005,$A353,'3 Nhật ký dừng máy'!$B$6:$B$1005,$B353,'3 Nhật ký dừng máy'!$C$6:$C$1005,$C353,'3 Nhật ký dừng máy'!$K$6:$K$1005,"Có kế hoạch"),"?"))</f>
        <v/>
      </c>
      <c r="Q353" s="28" t="str">
        <f>IF($C353="","",SUMIFS('3 Nhật ký dừng máy'!$I$6:$I$1005,'3 Nhật ký dừng máy'!$A$6:$A$1005,$A353,'3 Nhật ký dừng máy'!$B$6:$B$1005,$B353,'3 Nhật ký dừng máy'!$C$6:$C$1005,$C353,'3 Nhật ký dừng máy'!$K$6:$K$1005,"Ngoài kế hoạch"))</f>
        <v/>
      </c>
      <c r="R353" s="30" t="str">
        <f>IF($C353="","",COUNTIFS('3 Nhật ký dừng máy'!$A$6:$A$1005,$A353,'3 Nhật ký dừng máy'!$B$6:$B$1005,$B353,'3 Nhật ký dừng máy'!$C$6:$C$1005,$C353,'3 Nhật ký dừng máy'!$K$6:$K$1005,"Ngoài kế hoạch"))</f>
        <v/>
      </c>
      <c r="S353" s="31" t="str">
        <f t="shared" si="59"/>
        <v/>
      </c>
      <c r="T353" s="31" t="str">
        <f t="shared" si="60"/>
        <v/>
      </c>
      <c r="U353" s="31" t="str">
        <f t="shared" si="61"/>
        <v/>
      </c>
      <c r="V353" s="32" t="str">
        <f t="shared" si="62"/>
        <v/>
      </c>
      <c r="W353" s="30" t="str">
        <f t="shared" si="63"/>
        <v/>
      </c>
      <c r="X353" s="33" t="str">
        <f t="shared" si="64"/>
        <v/>
      </c>
      <c r="Y353" s="34" t="str">
        <f t="shared" si="65"/>
        <v/>
      </c>
    </row>
    <row r="354" spans="1:25" x14ac:dyDescent="0.2">
      <c r="A354" s="35"/>
      <c r="B354" s="21"/>
      <c r="C354" s="18"/>
      <c r="D354" s="21"/>
      <c r="E354" s="21"/>
      <c r="F354" s="21"/>
      <c r="G354" s="36"/>
      <c r="H354" s="36"/>
      <c r="I354" s="36"/>
      <c r="J354" s="37"/>
      <c r="K354" s="18"/>
      <c r="L354" s="28" t="str">
        <f t="shared" si="55"/>
        <v/>
      </c>
      <c r="M354" s="29" t="str">
        <f t="shared" si="56"/>
        <v/>
      </c>
      <c r="N354" s="29" t="str">
        <f t="shared" si="57"/>
        <v/>
      </c>
      <c r="O354" s="30" t="str">
        <f t="shared" si="58"/>
        <v/>
      </c>
      <c r="P354" s="28" t="str">
        <f>IF($C354="","",IFERROR(INDEX(CA_TG,MATCH(B354,DS_CA,0))-INDEX(CA_NGHI,MATCH(B354,DS_CA,0))-SUMIFS('3 Nhật ký dừng máy'!$I$6:$I$1005,'3 Nhật ký dừng máy'!$A$6:$A$1005,$A354,'3 Nhật ký dừng máy'!$B$6:$B$1005,$B354,'3 Nhật ký dừng máy'!$C$6:$C$1005,$C354,'3 Nhật ký dừng máy'!$K$6:$K$1005,"Có kế hoạch"),"?"))</f>
        <v/>
      </c>
      <c r="Q354" s="28" t="str">
        <f>IF($C354="","",SUMIFS('3 Nhật ký dừng máy'!$I$6:$I$1005,'3 Nhật ký dừng máy'!$A$6:$A$1005,$A354,'3 Nhật ký dừng máy'!$B$6:$B$1005,$B354,'3 Nhật ký dừng máy'!$C$6:$C$1005,$C354,'3 Nhật ký dừng máy'!$K$6:$K$1005,"Ngoài kế hoạch"))</f>
        <v/>
      </c>
      <c r="R354" s="30" t="str">
        <f>IF($C354="","",COUNTIFS('3 Nhật ký dừng máy'!$A$6:$A$1005,$A354,'3 Nhật ký dừng máy'!$B$6:$B$1005,$B354,'3 Nhật ký dừng máy'!$C$6:$C$1005,$C354,'3 Nhật ký dừng máy'!$K$6:$K$1005,"Ngoài kế hoạch"))</f>
        <v/>
      </c>
      <c r="S354" s="31" t="str">
        <f t="shared" si="59"/>
        <v/>
      </c>
      <c r="T354" s="31" t="str">
        <f t="shared" si="60"/>
        <v/>
      </c>
      <c r="U354" s="31" t="str">
        <f t="shared" si="61"/>
        <v/>
      </c>
      <c r="V354" s="32" t="str">
        <f t="shared" si="62"/>
        <v/>
      </c>
      <c r="W354" s="30" t="str">
        <f t="shared" si="63"/>
        <v/>
      </c>
      <c r="X354" s="33" t="str">
        <f t="shared" si="64"/>
        <v/>
      </c>
      <c r="Y354" s="34" t="str">
        <f t="shared" si="65"/>
        <v/>
      </c>
    </row>
    <row r="355" spans="1:25" x14ac:dyDescent="0.2">
      <c r="A355" s="35"/>
      <c r="B355" s="21"/>
      <c r="C355" s="18"/>
      <c r="D355" s="21"/>
      <c r="E355" s="21"/>
      <c r="F355" s="21"/>
      <c r="G355" s="36"/>
      <c r="H355" s="36"/>
      <c r="I355" s="36"/>
      <c r="J355" s="37"/>
      <c r="K355" s="18"/>
      <c r="L355" s="28" t="str">
        <f t="shared" si="55"/>
        <v/>
      </c>
      <c r="M355" s="29" t="str">
        <f t="shared" si="56"/>
        <v/>
      </c>
      <c r="N355" s="29" t="str">
        <f t="shared" si="57"/>
        <v/>
      </c>
      <c r="O355" s="30" t="str">
        <f t="shared" si="58"/>
        <v/>
      </c>
      <c r="P355" s="28" t="str">
        <f>IF($C355="","",IFERROR(INDEX(CA_TG,MATCH(B355,DS_CA,0))-INDEX(CA_NGHI,MATCH(B355,DS_CA,0))-SUMIFS('3 Nhật ký dừng máy'!$I$6:$I$1005,'3 Nhật ký dừng máy'!$A$6:$A$1005,$A355,'3 Nhật ký dừng máy'!$B$6:$B$1005,$B355,'3 Nhật ký dừng máy'!$C$6:$C$1005,$C355,'3 Nhật ký dừng máy'!$K$6:$K$1005,"Có kế hoạch"),"?"))</f>
        <v/>
      </c>
      <c r="Q355" s="28" t="str">
        <f>IF($C355="","",SUMIFS('3 Nhật ký dừng máy'!$I$6:$I$1005,'3 Nhật ký dừng máy'!$A$6:$A$1005,$A355,'3 Nhật ký dừng máy'!$B$6:$B$1005,$B355,'3 Nhật ký dừng máy'!$C$6:$C$1005,$C355,'3 Nhật ký dừng máy'!$K$6:$K$1005,"Ngoài kế hoạch"))</f>
        <v/>
      </c>
      <c r="R355" s="30" t="str">
        <f>IF($C355="","",COUNTIFS('3 Nhật ký dừng máy'!$A$6:$A$1005,$A355,'3 Nhật ký dừng máy'!$B$6:$B$1005,$B355,'3 Nhật ký dừng máy'!$C$6:$C$1005,$C355,'3 Nhật ký dừng máy'!$K$6:$K$1005,"Ngoài kế hoạch"))</f>
        <v/>
      </c>
      <c r="S355" s="31" t="str">
        <f t="shared" si="59"/>
        <v/>
      </c>
      <c r="T355" s="31" t="str">
        <f t="shared" si="60"/>
        <v/>
      </c>
      <c r="U355" s="31" t="str">
        <f t="shared" si="61"/>
        <v/>
      </c>
      <c r="V355" s="32" t="str">
        <f t="shared" si="62"/>
        <v/>
      </c>
      <c r="W355" s="30" t="str">
        <f t="shared" si="63"/>
        <v/>
      </c>
      <c r="X355" s="33" t="str">
        <f t="shared" si="64"/>
        <v/>
      </c>
      <c r="Y355" s="34" t="str">
        <f t="shared" si="65"/>
        <v/>
      </c>
    </row>
    <row r="356" spans="1:25" x14ac:dyDescent="0.2">
      <c r="A356" s="35"/>
      <c r="B356" s="21"/>
      <c r="C356" s="18"/>
      <c r="D356" s="21"/>
      <c r="E356" s="21"/>
      <c r="F356" s="21"/>
      <c r="G356" s="36"/>
      <c r="H356" s="36"/>
      <c r="I356" s="36"/>
      <c r="J356" s="37"/>
      <c r="K356" s="18"/>
      <c r="L356" s="28" t="str">
        <f t="shared" si="55"/>
        <v/>
      </c>
      <c r="M356" s="29" t="str">
        <f t="shared" si="56"/>
        <v/>
      </c>
      <c r="N356" s="29" t="str">
        <f t="shared" si="57"/>
        <v/>
      </c>
      <c r="O356" s="30" t="str">
        <f t="shared" si="58"/>
        <v/>
      </c>
      <c r="P356" s="28" t="str">
        <f>IF($C356="","",IFERROR(INDEX(CA_TG,MATCH(B356,DS_CA,0))-INDEX(CA_NGHI,MATCH(B356,DS_CA,0))-SUMIFS('3 Nhật ký dừng máy'!$I$6:$I$1005,'3 Nhật ký dừng máy'!$A$6:$A$1005,$A356,'3 Nhật ký dừng máy'!$B$6:$B$1005,$B356,'3 Nhật ký dừng máy'!$C$6:$C$1005,$C356,'3 Nhật ký dừng máy'!$K$6:$K$1005,"Có kế hoạch"),"?"))</f>
        <v/>
      </c>
      <c r="Q356" s="28" t="str">
        <f>IF($C356="","",SUMIFS('3 Nhật ký dừng máy'!$I$6:$I$1005,'3 Nhật ký dừng máy'!$A$6:$A$1005,$A356,'3 Nhật ký dừng máy'!$B$6:$B$1005,$B356,'3 Nhật ký dừng máy'!$C$6:$C$1005,$C356,'3 Nhật ký dừng máy'!$K$6:$K$1005,"Ngoài kế hoạch"))</f>
        <v/>
      </c>
      <c r="R356" s="30" t="str">
        <f>IF($C356="","",COUNTIFS('3 Nhật ký dừng máy'!$A$6:$A$1005,$A356,'3 Nhật ký dừng máy'!$B$6:$B$1005,$B356,'3 Nhật ký dừng máy'!$C$6:$C$1005,$C356,'3 Nhật ký dừng máy'!$K$6:$K$1005,"Ngoài kế hoạch"))</f>
        <v/>
      </c>
      <c r="S356" s="31" t="str">
        <f t="shared" si="59"/>
        <v/>
      </c>
      <c r="T356" s="31" t="str">
        <f t="shared" si="60"/>
        <v/>
      </c>
      <c r="U356" s="31" t="str">
        <f t="shared" si="61"/>
        <v/>
      </c>
      <c r="V356" s="32" t="str">
        <f t="shared" si="62"/>
        <v/>
      </c>
      <c r="W356" s="30" t="str">
        <f t="shared" si="63"/>
        <v/>
      </c>
      <c r="X356" s="33" t="str">
        <f t="shared" si="64"/>
        <v/>
      </c>
      <c r="Y356" s="34" t="str">
        <f t="shared" si="65"/>
        <v/>
      </c>
    </row>
    <row r="357" spans="1:25" x14ac:dyDescent="0.2">
      <c r="A357" s="35"/>
      <c r="B357" s="21"/>
      <c r="C357" s="18"/>
      <c r="D357" s="21"/>
      <c r="E357" s="21"/>
      <c r="F357" s="21"/>
      <c r="G357" s="36"/>
      <c r="H357" s="36"/>
      <c r="I357" s="36"/>
      <c r="J357" s="37"/>
      <c r="K357" s="18"/>
      <c r="L357" s="28" t="str">
        <f t="shared" si="55"/>
        <v/>
      </c>
      <c r="M357" s="29" t="str">
        <f t="shared" si="56"/>
        <v/>
      </c>
      <c r="N357" s="29" t="str">
        <f t="shared" si="57"/>
        <v/>
      </c>
      <c r="O357" s="30" t="str">
        <f t="shared" si="58"/>
        <v/>
      </c>
      <c r="P357" s="28" t="str">
        <f>IF($C357="","",IFERROR(INDEX(CA_TG,MATCH(B357,DS_CA,0))-INDEX(CA_NGHI,MATCH(B357,DS_CA,0))-SUMIFS('3 Nhật ký dừng máy'!$I$6:$I$1005,'3 Nhật ký dừng máy'!$A$6:$A$1005,$A357,'3 Nhật ký dừng máy'!$B$6:$B$1005,$B357,'3 Nhật ký dừng máy'!$C$6:$C$1005,$C357,'3 Nhật ký dừng máy'!$K$6:$K$1005,"Có kế hoạch"),"?"))</f>
        <v/>
      </c>
      <c r="Q357" s="28" t="str">
        <f>IF($C357="","",SUMIFS('3 Nhật ký dừng máy'!$I$6:$I$1005,'3 Nhật ký dừng máy'!$A$6:$A$1005,$A357,'3 Nhật ký dừng máy'!$B$6:$B$1005,$B357,'3 Nhật ký dừng máy'!$C$6:$C$1005,$C357,'3 Nhật ký dừng máy'!$K$6:$K$1005,"Ngoài kế hoạch"))</f>
        <v/>
      </c>
      <c r="R357" s="30" t="str">
        <f>IF($C357="","",COUNTIFS('3 Nhật ký dừng máy'!$A$6:$A$1005,$A357,'3 Nhật ký dừng máy'!$B$6:$B$1005,$B357,'3 Nhật ký dừng máy'!$C$6:$C$1005,$C357,'3 Nhật ký dừng máy'!$K$6:$K$1005,"Ngoài kế hoạch"))</f>
        <v/>
      </c>
      <c r="S357" s="31" t="str">
        <f t="shared" si="59"/>
        <v/>
      </c>
      <c r="T357" s="31" t="str">
        <f t="shared" si="60"/>
        <v/>
      </c>
      <c r="U357" s="31" t="str">
        <f t="shared" si="61"/>
        <v/>
      </c>
      <c r="V357" s="32" t="str">
        <f t="shared" si="62"/>
        <v/>
      </c>
      <c r="W357" s="30" t="str">
        <f t="shared" si="63"/>
        <v/>
      </c>
      <c r="X357" s="33" t="str">
        <f t="shared" si="64"/>
        <v/>
      </c>
      <c r="Y357" s="34" t="str">
        <f t="shared" si="65"/>
        <v/>
      </c>
    </row>
    <row r="358" spans="1:25" x14ac:dyDescent="0.2">
      <c r="A358" s="35"/>
      <c r="B358" s="21"/>
      <c r="C358" s="18"/>
      <c r="D358" s="21"/>
      <c r="E358" s="21"/>
      <c r="F358" s="21"/>
      <c r="G358" s="36"/>
      <c r="H358" s="36"/>
      <c r="I358" s="36"/>
      <c r="J358" s="37"/>
      <c r="K358" s="18"/>
      <c r="L358" s="28" t="str">
        <f t="shared" si="55"/>
        <v/>
      </c>
      <c r="M358" s="29" t="str">
        <f t="shared" si="56"/>
        <v/>
      </c>
      <c r="N358" s="29" t="str">
        <f t="shared" si="57"/>
        <v/>
      </c>
      <c r="O358" s="30" t="str">
        <f t="shared" si="58"/>
        <v/>
      </c>
      <c r="P358" s="28" t="str">
        <f>IF($C358="","",IFERROR(INDEX(CA_TG,MATCH(B358,DS_CA,0))-INDEX(CA_NGHI,MATCH(B358,DS_CA,0))-SUMIFS('3 Nhật ký dừng máy'!$I$6:$I$1005,'3 Nhật ký dừng máy'!$A$6:$A$1005,$A358,'3 Nhật ký dừng máy'!$B$6:$B$1005,$B358,'3 Nhật ký dừng máy'!$C$6:$C$1005,$C358,'3 Nhật ký dừng máy'!$K$6:$K$1005,"Có kế hoạch"),"?"))</f>
        <v/>
      </c>
      <c r="Q358" s="28" t="str">
        <f>IF($C358="","",SUMIFS('3 Nhật ký dừng máy'!$I$6:$I$1005,'3 Nhật ký dừng máy'!$A$6:$A$1005,$A358,'3 Nhật ký dừng máy'!$B$6:$B$1005,$B358,'3 Nhật ký dừng máy'!$C$6:$C$1005,$C358,'3 Nhật ký dừng máy'!$K$6:$K$1005,"Ngoài kế hoạch"))</f>
        <v/>
      </c>
      <c r="R358" s="30" t="str">
        <f>IF($C358="","",COUNTIFS('3 Nhật ký dừng máy'!$A$6:$A$1005,$A358,'3 Nhật ký dừng máy'!$B$6:$B$1005,$B358,'3 Nhật ký dừng máy'!$C$6:$C$1005,$C358,'3 Nhật ký dừng máy'!$K$6:$K$1005,"Ngoài kế hoạch"))</f>
        <v/>
      </c>
      <c r="S358" s="31" t="str">
        <f t="shared" si="59"/>
        <v/>
      </c>
      <c r="T358" s="31" t="str">
        <f t="shared" si="60"/>
        <v/>
      </c>
      <c r="U358" s="31" t="str">
        <f t="shared" si="61"/>
        <v/>
      </c>
      <c r="V358" s="32" t="str">
        <f t="shared" si="62"/>
        <v/>
      </c>
      <c r="W358" s="30" t="str">
        <f t="shared" si="63"/>
        <v/>
      </c>
      <c r="X358" s="33" t="str">
        <f t="shared" si="64"/>
        <v/>
      </c>
      <c r="Y358" s="34" t="str">
        <f t="shared" si="65"/>
        <v/>
      </c>
    </row>
    <row r="359" spans="1:25" x14ac:dyDescent="0.2">
      <c r="A359" s="35"/>
      <c r="B359" s="21"/>
      <c r="C359" s="18"/>
      <c r="D359" s="21"/>
      <c r="E359" s="21"/>
      <c r="F359" s="21"/>
      <c r="G359" s="36"/>
      <c r="H359" s="36"/>
      <c r="I359" s="36"/>
      <c r="J359" s="37"/>
      <c r="K359" s="18"/>
      <c r="L359" s="28" t="str">
        <f t="shared" si="55"/>
        <v/>
      </c>
      <c r="M359" s="29" t="str">
        <f t="shared" si="56"/>
        <v/>
      </c>
      <c r="N359" s="29" t="str">
        <f t="shared" si="57"/>
        <v/>
      </c>
      <c r="O359" s="30" t="str">
        <f t="shared" si="58"/>
        <v/>
      </c>
      <c r="P359" s="28" t="str">
        <f>IF($C359="","",IFERROR(INDEX(CA_TG,MATCH(B359,DS_CA,0))-INDEX(CA_NGHI,MATCH(B359,DS_CA,0))-SUMIFS('3 Nhật ký dừng máy'!$I$6:$I$1005,'3 Nhật ký dừng máy'!$A$6:$A$1005,$A359,'3 Nhật ký dừng máy'!$B$6:$B$1005,$B359,'3 Nhật ký dừng máy'!$C$6:$C$1005,$C359,'3 Nhật ký dừng máy'!$K$6:$K$1005,"Có kế hoạch"),"?"))</f>
        <v/>
      </c>
      <c r="Q359" s="28" t="str">
        <f>IF($C359="","",SUMIFS('3 Nhật ký dừng máy'!$I$6:$I$1005,'3 Nhật ký dừng máy'!$A$6:$A$1005,$A359,'3 Nhật ký dừng máy'!$B$6:$B$1005,$B359,'3 Nhật ký dừng máy'!$C$6:$C$1005,$C359,'3 Nhật ký dừng máy'!$K$6:$K$1005,"Ngoài kế hoạch"))</f>
        <v/>
      </c>
      <c r="R359" s="30" t="str">
        <f>IF($C359="","",COUNTIFS('3 Nhật ký dừng máy'!$A$6:$A$1005,$A359,'3 Nhật ký dừng máy'!$B$6:$B$1005,$B359,'3 Nhật ký dừng máy'!$C$6:$C$1005,$C359,'3 Nhật ký dừng máy'!$K$6:$K$1005,"Ngoài kế hoạch"))</f>
        <v/>
      </c>
      <c r="S359" s="31" t="str">
        <f t="shared" si="59"/>
        <v/>
      </c>
      <c r="T359" s="31" t="str">
        <f t="shared" si="60"/>
        <v/>
      </c>
      <c r="U359" s="31" t="str">
        <f t="shared" si="61"/>
        <v/>
      </c>
      <c r="V359" s="32" t="str">
        <f t="shared" si="62"/>
        <v/>
      </c>
      <c r="W359" s="30" t="str">
        <f t="shared" si="63"/>
        <v/>
      </c>
      <c r="X359" s="33" t="str">
        <f t="shared" si="64"/>
        <v/>
      </c>
      <c r="Y359" s="34" t="str">
        <f t="shared" si="65"/>
        <v/>
      </c>
    </row>
    <row r="360" spans="1:25" x14ac:dyDescent="0.2">
      <c r="A360" s="35"/>
      <c r="B360" s="21"/>
      <c r="C360" s="18"/>
      <c r="D360" s="21"/>
      <c r="E360" s="21"/>
      <c r="F360" s="21"/>
      <c r="G360" s="36"/>
      <c r="H360" s="36"/>
      <c r="I360" s="36"/>
      <c r="J360" s="37"/>
      <c r="K360" s="18"/>
      <c r="L360" s="28" t="str">
        <f t="shared" si="55"/>
        <v/>
      </c>
      <c r="M360" s="29" t="str">
        <f t="shared" si="56"/>
        <v/>
      </c>
      <c r="N360" s="29" t="str">
        <f t="shared" si="57"/>
        <v/>
      </c>
      <c r="O360" s="30" t="str">
        <f t="shared" si="58"/>
        <v/>
      </c>
      <c r="P360" s="28" t="str">
        <f>IF($C360="","",IFERROR(INDEX(CA_TG,MATCH(B360,DS_CA,0))-INDEX(CA_NGHI,MATCH(B360,DS_CA,0))-SUMIFS('3 Nhật ký dừng máy'!$I$6:$I$1005,'3 Nhật ký dừng máy'!$A$6:$A$1005,$A360,'3 Nhật ký dừng máy'!$B$6:$B$1005,$B360,'3 Nhật ký dừng máy'!$C$6:$C$1005,$C360,'3 Nhật ký dừng máy'!$K$6:$K$1005,"Có kế hoạch"),"?"))</f>
        <v/>
      </c>
      <c r="Q360" s="28" t="str">
        <f>IF($C360="","",SUMIFS('3 Nhật ký dừng máy'!$I$6:$I$1005,'3 Nhật ký dừng máy'!$A$6:$A$1005,$A360,'3 Nhật ký dừng máy'!$B$6:$B$1005,$B360,'3 Nhật ký dừng máy'!$C$6:$C$1005,$C360,'3 Nhật ký dừng máy'!$K$6:$K$1005,"Ngoài kế hoạch"))</f>
        <v/>
      </c>
      <c r="R360" s="30" t="str">
        <f>IF($C360="","",COUNTIFS('3 Nhật ký dừng máy'!$A$6:$A$1005,$A360,'3 Nhật ký dừng máy'!$B$6:$B$1005,$B360,'3 Nhật ký dừng máy'!$C$6:$C$1005,$C360,'3 Nhật ký dừng máy'!$K$6:$K$1005,"Ngoài kế hoạch"))</f>
        <v/>
      </c>
      <c r="S360" s="31" t="str">
        <f t="shared" si="59"/>
        <v/>
      </c>
      <c r="T360" s="31" t="str">
        <f t="shared" si="60"/>
        <v/>
      </c>
      <c r="U360" s="31" t="str">
        <f t="shared" si="61"/>
        <v/>
      </c>
      <c r="V360" s="32" t="str">
        <f t="shared" si="62"/>
        <v/>
      </c>
      <c r="W360" s="30" t="str">
        <f t="shared" si="63"/>
        <v/>
      </c>
      <c r="X360" s="33" t="str">
        <f t="shared" si="64"/>
        <v/>
      </c>
      <c r="Y360" s="34" t="str">
        <f t="shared" si="65"/>
        <v/>
      </c>
    </row>
    <row r="361" spans="1:25" x14ac:dyDescent="0.2">
      <c r="A361" s="35"/>
      <c r="B361" s="21"/>
      <c r="C361" s="18"/>
      <c r="D361" s="21"/>
      <c r="E361" s="21"/>
      <c r="F361" s="21"/>
      <c r="G361" s="36"/>
      <c r="H361" s="36"/>
      <c r="I361" s="36"/>
      <c r="J361" s="37"/>
      <c r="K361" s="18"/>
      <c r="L361" s="28" t="str">
        <f t="shared" si="55"/>
        <v/>
      </c>
      <c r="M361" s="29" t="str">
        <f t="shared" si="56"/>
        <v/>
      </c>
      <c r="N361" s="29" t="str">
        <f t="shared" si="57"/>
        <v/>
      </c>
      <c r="O361" s="30" t="str">
        <f t="shared" si="58"/>
        <v/>
      </c>
      <c r="P361" s="28" t="str">
        <f>IF($C361="","",IFERROR(INDEX(CA_TG,MATCH(B361,DS_CA,0))-INDEX(CA_NGHI,MATCH(B361,DS_CA,0))-SUMIFS('3 Nhật ký dừng máy'!$I$6:$I$1005,'3 Nhật ký dừng máy'!$A$6:$A$1005,$A361,'3 Nhật ký dừng máy'!$B$6:$B$1005,$B361,'3 Nhật ký dừng máy'!$C$6:$C$1005,$C361,'3 Nhật ký dừng máy'!$K$6:$K$1005,"Có kế hoạch"),"?"))</f>
        <v/>
      </c>
      <c r="Q361" s="28" t="str">
        <f>IF($C361="","",SUMIFS('3 Nhật ký dừng máy'!$I$6:$I$1005,'3 Nhật ký dừng máy'!$A$6:$A$1005,$A361,'3 Nhật ký dừng máy'!$B$6:$B$1005,$B361,'3 Nhật ký dừng máy'!$C$6:$C$1005,$C361,'3 Nhật ký dừng máy'!$K$6:$K$1005,"Ngoài kế hoạch"))</f>
        <v/>
      </c>
      <c r="R361" s="30" t="str">
        <f>IF($C361="","",COUNTIFS('3 Nhật ký dừng máy'!$A$6:$A$1005,$A361,'3 Nhật ký dừng máy'!$B$6:$B$1005,$B361,'3 Nhật ký dừng máy'!$C$6:$C$1005,$C361,'3 Nhật ký dừng máy'!$K$6:$K$1005,"Ngoài kế hoạch"))</f>
        <v/>
      </c>
      <c r="S361" s="31" t="str">
        <f t="shared" si="59"/>
        <v/>
      </c>
      <c r="T361" s="31" t="str">
        <f t="shared" si="60"/>
        <v/>
      </c>
      <c r="U361" s="31" t="str">
        <f t="shared" si="61"/>
        <v/>
      </c>
      <c r="V361" s="32" t="str">
        <f t="shared" si="62"/>
        <v/>
      </c>
      <c r="W361" s="30" t="str">
        <f t="shared" si="63"/>
        <v/>
      </c>
      <c r="X361" s="33" t="str">
        <f t="shared" si="64"/>
        <v/>
      </c>
      <c r="Y361" s="34" t="str">
        <f t="shared" si="65"/>
        <v/>
      </c>
    </row>
    <row r="362" spans="1:25" x14ac:dyDescent="0.2">
      <c r="A362" s="35"/>
      <c r="B362" s="21"/>
      <c r="C362" s="18"/>
      <c r="D362" s="21"/>
      <c r="E362" s="21"/>
      <c r="F362" s="21"/>
      <c r="G362" s="36"/>
      <c r="H362" s="36"/>
      <c r="I362" s="36"/>
      <c r="J362" s="37"/>
      <c r="K362" s="18"/>
      <c r="L362" s="28" t="str">
        <f t="shared" si="55"/>
        <v/>
      </c>
      <c r="M362" s="29" t="str">
        <f t="shared" si="56"/>
        <v/>
      </c>
      <c r="N362" s="29" t="str">
        <f t="shared" si="57"/>
        <v/>
      </c>
      <c r="O362" s="30" t="str">
        <f t="shared" si="58"/>
        <v/>
      </c>
      <c r="P362" s="28" t="str">
        <f>IF($C362="","",IFERROR(INDEX(CA_TG,MATCH(B362,DS_CA,0))-INDEX(CA_NGHI,MATCH(B362,DS_CA,0))-SUMIFS('3 Nhật ký dừng máy'!$I$6:$I$1005,'3 Nhật ký dừng máy'!$A$6:$A$1005,$A362,'3 Nhật ký dừng máy'!$B$6:$B$1005,$B362,'3 Nhật ký dừng máy'!$C$6:$C$1005,$C362,'3 Nhật ký dừng máy'!$K$6:$K$1005,"Có kế hoạch"),"?"))</f>
        <v/>
      </c>
      <c r="Q362" s="28" t="str">
        <f>IF($C362="","",SUMIFS('3 Nhật ký dừng máy'!$I$6:$I$1005,'3 Nhật ký dừng máy'!$A$6:$A$1005,$A362,'3 Nhật ký dừng máy'!$B$6:$B$1005,$B362,'3 Nhật ký dừng máy'!$C$6:$C$1005,$C362,'3 Nhật ký dừng máy'!$K$6:$K$1005,"Ngoài kế hoạch"))</f>
        <v/>
      </c>
      <c r="R362" s="30" t="str">
        <f>IF($C362="","",COUNTIFS('3 Nhật ký dừng máy'!$A$6:$A$1005,$A362,'3 Nhật ký dừng máy'!$B$6:$B$1005,$B362,'3 Nhật ký dừng máy'!$C$6:$C$1005,$C362,'3 Nhật ký dừng máy'!$K$6:$K$1005,"Ngoài kế hoạch"))</f>
        <v/>
      </c>
      <c r="S362" s="31" t="str">
        <f t="shared" si="59"/>
        <v/>
      </c>
      <c r="T362" s="31" t="str">
        <f t="shared" si="60"/>
        <v/>
      </c>
      <c r="U362" s="31" t="str">
        <f t="shared" si="61"/>
        <v/>
      </c>
      <c r="V362" s="32" t="str">
        <f t="shared" si="62"/>
        <v/>
      </c>
      <c r="W362" s="30" t="str">
        <f t="shared" si="63"/>
        <v/>
      </c>
      <c r="X362" s="33" t="str">
        <f t="shared" si="64"/>
        <v/>
      </c>
      <c r="Y362" s="34" t="str">
        <f t="shared" si="65"/>
        <v/>
      </c>
    </row>
    <row r="363" spans="1:25" x14ac:dyDescent="0.2">
      <c r="A363" s="35"/>
      <c r="B363" s="21"/>
      <c r="C363" s="18"/>
      <c r="D363" s="21"/>
      <c r="E363" s="21"/>
      <c r="F363" s="21"/>
      <c r="G363" s="36"/>
      <c r="H363" s="36"/>
      <c r="I363" s="36"/>
      <c r="J363" s="37"/>
      <c r="K363" s="18"/>
      <c r="L363" s="28" t="str">
        <f t="shared" si="55"/>
        <v/>
      </c>
      <c r="M363" s="29" t="str">
        <f t="shared" si="56"/>
        <v/>
      </c>
      <c r="N363" s="29" t="str">
        <f t="shared" si="57"/>
        <v/>
      </c>
      <c r="O363" s="30" t="str">
        <f t="shared" si="58"/>
        <v/>
      </c>
      <c r="P363" s="28" t="str">
        <f>IF($C363="","",IFERROR(INDEX(CA_TG,MATCH(B363,DS_CA,0))-INDEX(CA_NGHI,MATCH(B363,DS_CA,0))-SUMIFS('3 Nhật ký dừng máy'!$I$6:$I$1005,'3 Nhật ký dừng máy'!$A$6:$A$1005,$A363,'3 Nhật ký dừng máy'!$B$6:$B$1005,$B363,'3 Nhật ký dừng máy'!$C$6:$C$1005,$C363,'3 Nhật ký dừng máy'!$K$6:$K$1005,"Có kế hoạch"),"?"))</f>
        <v/>
      </c>
      <c r="Q363" s="28" t="str">
        <f>IF($C363="","",SUMIFS('3 Nhật ký dừng máy'!$I$6:$I$1005,'3 Nhật ký dừng máy'!$A$6:$A$1005,$A363,'3 Nhật ký dừng máy'!$B$6:$B$1005,$B363,'3 Nhật ký dừng máy'!$C$6:$C$1005,$C363,'3 Nhật ký dừng máy'!$K$6:$K$1005,"Ngoài kế hoạch"))</f>
        <v/>
      </c>
      <c r="R363" s="30" t="str">
        <f>IF($C363="","",COUNTIFS('3 Nhật ký dừng máy'!$A$6:$A$1005,$A363,'3 Nhật ký dừng máy'!$B$6:$B$1005,$B363,'3 Nhật ký dừng máy'!$C$6:$C$1005,$C363,'3 Nhật ký dừng máy'!$K$6:$K$1005,"Ngoài kế hoạch"))</f>
        <v/>
      </c>
      <c r="S363" s="31" t="str">
        <f t="shared" si="59"/>
        <v/>
      </c>
      <c r="T363" s="31" t="str">
        <f t="shared" si="60"/>
        <v/>
      </c>
      <c r="U363" s="31" t="str">
        <f t="shared" si="61"/>
        <v/>
      </c>
      <c r="V363" s="32" t="str">
        <f t="shared" si="62"/>
        <v/>
      </c>
      <c r="W363" s="30" t="str">
        <f t="shared" si="63"/>
        <v/>
      </c>
      <c r="X363" s="33" t="str">
        <f t="shared" si="64"/>
        <v/>
      </c>
      <c r="Y363" s="34" t="str">
        <f t="shared" si="65"/>
        <v/>
      </c>
    </row>
    <row r="364" spans="1:25" x14ac:dyDescent="0.2">
      <c r="A364" s="35"/>
      <c r="B364" s="21"/>
      <c r="C364" s="18"/>
      <c r="D364" s="21"/>
      <c r="E364" s="21"/>
      <c r="F364" s="21"/>
      <c r="G364" s="36"/>
      <c r="H364" s="36"/>
      <c r="I364" s="36"/>
      <c r="J364" s="37"/>
      <c r="K364" s="18"/>
      <c r="L364" s="28" t="str">
        <f t="shared" si="55"/>
        <v/>
      </c>
      <c r="M364" s="29" t="str">
        <f t="shared" si="56"/>
        <v/>
      </c>
      <c r="N364" s="29" t="str">
        <f t="shared" si="57"/>
        <v/>
      </c>
      <c r="O364" s="30" t="str">
        <f t="shared" si="58"/>
        <v/>
      </c>
      <c r="P364" s="28" t="str">
        <f>IF($C364="","",IFERROR(INDEX(CA_TG,MATCH(B364,DS_CA,0))-INDEX(CA_NGHI,MATCH(B364,DS_CA,0))-SUMIFS('3 Nhật ký dừng máy'!$I$6:$I$1005,'3 Nhật ký dừng máy'!$A$6:$A$1005,$A364,'3 Nhật ký dừng máy'!$B$6:$B$1005,$B364,'3 Nhật ký dừng máy'!$C$6:$C$1005,$C364,'3 Nhật ký dừng máy'!$K$6:$K$1005,"Có kế hoạch"),"?"))</f>
        <v/>
      </c>
      <c r="Q364" s="28" t="str">
        <f>IF($C364="","",SUMIFS('3 Nhật ký dừng máy'!$I$6:$I$1005,'3 Nhật ký dừng máy'!$A$6:$A$1005,$A364,'3 Nhật ký dừng máy'!$B$6:$B$1005,$B364,'3 Nhật ký dừng máy'!$C$6:$C$1005,$C364,'3 Nhật ký dừng máy'!$K$6:$K$1005,"Ngoài kế hoạch"))</f>
        <v/>
      </c>
      <c r="R364" s="30" t="str">
        <f>IF($C364="","",COUNTIFS('3 Nhật ký dừng máy'!$A$6:$A$1005,$A364,'3 Nhật ký dừng máy'!$B$6:$B$1005,$B364,'3 Nhật ký dừng máy'!$C$6:$C$1005,$C364,'3 Nhật ký dừng máy'!$K$6:$K$1005,"Ngoài kế hoạch"))</f>
        <v/>
      </c>
      <c r="S364" s="31" t="str">
        <f t="shared" si="59"/>
        <v/>
      </c>
      <c r="T364" s="31" t="str">
        <f t="shared" si="60"/>
        <v/>
      </c>
      <c r="U364" s="31" t="str">
        <f t="shared" si="61"/>
        <v/>
      </c>
      <c r="V364" s="32" t="str">
        <f t="shared" si="62"/>
        <v/>
      </c>
      <c r="W364" s="30" t="str">
        <f t="shared" si="63"/>
        <v/>
      </c>
      <c r="X364" s="33" t="str">
        <f t="shared" si="64"/>
        <v/>
      </c>
      <c r="Y364" s="34" t="str">
        <f t="shared" si="65"/>
        <v/>
      </c>
    </row>
    <row r="365" spans="1:25" x14ac:dyDescent="0.2">
      <c r="A365" s="35"/>
      <c r="B365" s="21"/>
      <c r="C365" s="18"/>
      <c r="D365" s="21"/>
      <c r="E365" s="21"/>
      <c r="F365" s="21"/>
      <c r="G365" s="36"/>
      <c r="H365" s="36"/>
      <c r="I365" s="36"/>
      <c r="J365" s="37"/>
      <c r="K365" s="18"/>
      <c r="L365" s="28" t="str">
        <f t="shared" si="55"/>
        <v/>
      </c>
      <c r="M365" s="29" t="str">
        <f t="shared" si="56"/>
        <v/>
      </c>
      <c r="N365" s="29" t="str">
        <f t="shared" si="57"/>
        <v/>
      </c>
      <c r="O365" s="30" t="str">
        <f t="shared" si="58"/>
        <v/>
      </c>
      <c r="P365" s="28" t="str">
        <f>IF($C365="","",IFERROR(INDEX(CA_TG,MATCH(B365,DS_CA,0))-INDEX(CA_NGHI,MATCH(B365,DS_CA,0))-SUMIFS('3 Nhật ký dừng máy'!$I$6:$I$1005,'3 Nhật ký dừng máy'!$A$6:$A$1005,$A365,'3 Nhật ký dừng máy'!$B$6:$B$1005,$B365,'3 Nhật ký dừng máy'!$C$6:$C$1005,$C365,'3 Nhật ký dừng máy'!$K$6:$K$1005,"Có kế hoạch"),"?"))</f>
        <v/>
      </c>
      <c r="Q365" s="28" t="str">
        <f>IF($C365="","",SUMIFS('3 Nhật ký dừng máy'!$I$6:$I$1005,'3 Nhật ký dừng máy'!$A$6:$A$1005,$A365,'3 Nhật ký dừng máy'!$B$6:$B$1005,$B365,'3 Nhật ký dừng máy'!$C$6:$C$1005,$C365,'3 Nhật ký dừng máy'!$K$6:$K$1005,"Ngoài kế hoạch"))</f>
        <v/>
      </c>
      <c r="R365" s="30" t="str">
        <f>IF($C365="","",COUNTIFS('3 Nhật ký dừng máy'!$A$6:$A$1005,$A365,'3 Nhật ký dừng máy'!$B$6:$B$1005,$B365,'3 Nhật ký dừng máy'!$C$6:$C$1005,$C365,'3 Nhật ký dừng máy'!$K$6:$K$1005,"Ngoài kế hoạch"))</f>
        <v/>
      </c>
      <c r="S365" s="31" t="str">
        <f t="shared" si="59"/>
        <v/>
      </c>
      <c r="T365" s="31" t="str">
        <f t="shared" si="60"/>
        <v/>
      </c>
      <c r="U365" s="31" t="str">
        <f t="shared" si="61"/>
        <v/>
      </c>
      <c r="V365" s="32" t="str">
        <f t="shared" si="62"/>
        <v/>
      </c>
      <c r="W365" s="30" t="str">
        <f t="shared" si="63"/>
        <v/>
      </c>
      <c r="X365" s="33" t="str">
        <f t="shared" si="64"/>
        <v/>
      </c>
      <c r="Y365" s="34" t="str">
        <f t="shared" si="65"/>
        <v/>
      </c>
    </row>
    <row r="366" spans="1:25" x14ac:dyDescent="0.2">
      <c r="A366" s="35"/>
      <c r="B366" s="21"/>
      <c r="C366" s="18"/>
      <c r="D366" s="21"/>
      <c r="E366" s="21"/>
      <c r="F366" s="21"/>
      <c r="G366" s="36"/>
      <c r="H366" s="36"/>
      <c r="I366" s="36"/>
      <c r="J366" s="37"/>
      <c r="K366" s="18"/>
      <c r="L366" s="28" t="str">
        <f t="shared" si="55"/>
        <v/>
      </c>
      <c r="M366" s="29" t="str">
        <f t="shared" si="56"/>
        <v/>
      </c>
      <c r="N366" s="29" t="str">
        <f t="shared" si="57"/>
        <v/>
      </c>
      <c r="O366" s="30" t="str">
        <f t="shared" si="58"/>
        <v/>
      </c>
      <c r="P366" s="28" t="str">
        <f>IF($C366="","",IFERROR(INDEX(CA_TG,MATCH(B366,DS_CA,0))-INDEX(CA_NGHI,MATCH(B366,DS_CA,0))-SUMIFS('3 Nhật ký dừng máy'!$I$6:$I$1005,'3 Nhật ký dừng máy'!$A$6:$A$1005,$A366,'3 Nhật ký dừng máy'!$B$6:$B$1005,$B366,'3 Nhật ký dừng máy'!$C$6:$C$1005,$C366,'3 Nhật ký dừng máy'!$K$6:$K$1005,"Có kế hoạch"),"?"))</f>
        <v/>
      </c>
      <c r="Q366" s="28" t="str">
        <f>IF($C366="","",SUMIFS('3 Nhật ký dừng máy'!$I$6:$I$1005,'3 Nhật ký dừng máy'!$A$6:$A$1005,$A366,'3 Nhật ký dừng máy'!$B$6:$B$1005,$B366,'3 Nhật ký dừng máy'!$C$6:$C$1005,$C366,'3 Nhật ký dừng máy'!$K$6:$K$1005,"Ngoài kế hoạch"))</f>
        <v/>
      </c>
      <c r="R366" s="30" t="str">
        <f>IF($C366="","",COUNTIFS('3 Nhật ký dừng máy'!$A$6:$A$1005,$A366,'3 Nhật ký dừng máy'!$B$6:$B$1005,$B366,'3 Nhật ký dừng máy'!$C$6:$C$1005,$C366,'3 Nhật ký dừng máy'!$K$6:$K$1005,"Ngoài kế hoạch"))</f>
        <v/>
      </c>
      <c r="S366" s="31" t="str">
        <f t="shared" si="59"/>
        <v/>
      </c>
      <c r="T366" s="31" t="str">
        <f t="shared" si="60"/>
        <v/>
      </c>
      <c r="U366" s="31" t="str">
        <f t="shared" si="61"/>
        <v/>
      </c>
      <c r="V366" s="32" t="str">
        <f t="shared" si="62"/>
        <v/>
      </c>
      <c r="W366" s="30" t="str">
        <f t="shared" si="63"/>
        <v/>
      </c>
      <c r="X366" s="33" t="str">
        <f t="shared" si="64"/>
        <v/>
      </c>
      <c r="Y366" s="34" t="str">
        <f t="shared" si="65"/>
        <v/>
      </c>
    </row>
    <row r="367" spans="1:25" x14ac:dyDescent="0.2">
      <c r="A367" s="35"/>
      <c r="B367" s="21"/>
      <c r="C367" s="18"/>
      <c r="D367" s="21"/>
      <c r="E367" s="21"/>
      <c r="F367" s="21"/>
      <c r="G367" s="36"/>
      <c r="H367" s="36"/>
      <c r="I367" s="36"/>
      <c r="J367" s="37"/>
      <c r="K367" s="18"/>
      <c r="L367" s="28" t="str">
        <f t="shared" si="55"/>
        <v/>
      </c>
      <c r="M367" s="29" t="str">
        <f t="shared" si="56"/>
        <v/>
      </c>
      <c r="N367" s="29" t="str">
        <f t="shared" si="57"/>
        <v/>
      </c>
      <c r="O367" s="30" t="str">
        <f t="shared" si="58"/>
        <v/>
      </c>
      <c r="P367" s="28" t="str">
        <f>IF($C367="","",IFERROR(INDEX(CA_TG,MATCH(B367,DS_CA,0))-INDEX(CA_NGHI,MATCH(B367,DS_CA,0))-SUMIFS('3 Nhật ký dừng máy'!$I$6:$I$1005,'3 Nhật ký dừng máy'!$A$6:$A$1005,$A367,'3 Nhật ký dừng máy'!$B$6:$B$1005,$B367,'3 Nhật ký dừng máy'!$C$6:$C$1005,$C367,'3 Nhật ký dừng máy'!$K$6:$K$1005,"Có kế hoạch"),"?"))</f>
        <v/>
      </c>
      <c r="Q367" s="28" t="str">
        <f>IF($C367="","",SUMIFS('3 Nhật ký dừng máy'!$I$6:$I$1005,'3 Nhật ký dừng máy'!$A$6:$A$1005,$A367,'3 Nhật ký dừng máy'!$B$6:$B$1005,$B367,'3 Nhật ký dừng máy'!$C$6:$C$1005,$C367,'3 Nhật ký dừng máy'!$K$6:$K$1005,"Ngoài kế hoạch"))</f>
        <v/>
      </c>
      <c r="R367" s="30" t="str">
        <f>IF($C367="","",COUNTIFS('3 Nhật ký dừng máy'!$A$6:$A$1005,$A367,'3 Nhật ký dừng máy'!$B$6:$B$1005,$B367,'3 Nhật ký dừng máy'!$C$6:$C$1005,$C367,'3 Nhật ký dừng máy'!$K$6:$K$1005,"Ngoài kế hoạch"))</f>
        <v/>
      </c>
      <c r="S367" s="31" t="str">
        <f t="shared" si="59"/>
        <v/>
      </c>
      <c r="T367" s="31" t="str">
        <f t="shared" si="60"/>
        <v/>
      </c>
      <c r="U367" s="31" t="str">
        <f t="shared" si="61"/>
        <v/>
      </c>
      <c r="V367" s="32" t="str">
        <f t="shared" si="62"/>
        <v/>
      </c>
      <c r="W367" s="30" t="str">
        <f t="shared" si="63"/>
        <v/>
      </c>
      <c r="X367" s="33" t="str">
        <f t="shared" si="64"/>
        <v/>
      </c>
      <c r="Y367" s="34" t="str">
        <f t="shared" si="65"/>
        <v/>
      </c>
    </row>
    <row r="368" spans="1:25" x14ac:dyDescent="0.2">
      <c r="A368" s="35"/>
      <c r="B368" s="21"/>
      <c r="C368" s="18"/>
      <c r="D368" s="21"/>
      <c r="E368" s="21"/>
      <c r="F368" s="21"/>
      <c r="G368" s="36"/>
      <c r="H368" s="36"/>
      <c r="I368" s="36"/>
      <c r="J368" s="37"/>
      <c r="K368" s="18"/>
      <c r="L368" s="28" t="str">
        <f t="shared" si="55"/>
        <v/>
      </c>
      <c r="M368" s="29" t="str">
        <f t="shared" si="56"/>
        <v/>
      </c>
      <c r="N368" s="29" t="str">
        <f t="shared" si="57"/>
        <v/>
      </c>
      <c r="O368" s="30" t="str">
        <f t="shared" si="58"/>
        <v/>
      </c>
      <c r="P368" s="28" t="str">
        <f>IF($C368="","",IFERROR(INDEX(CA_TG,MATCH(B368,DS_CA,0))-INDEX(CA_NGHI,MATCH(B368,DS_CA,0))-SUMIFS('3 Nhật ký dừng máy'!$I$6:$I$1005,'3 Nhật ký dừng máy'!$A$6:$A$1005,$A368,'3 Nhật ký dừng máy'!$B$6:$B$1005,$B368,'3 Nhật ký dừng máy'!$C$6:$C$1005,$C368,'3 Nhật ký dừng máy'!$K$6:$K$1005,"Có kế hoạch"),"?"))</f>
        <v/>
      </c>
      <c r="Q368" s="28" t="str">
        <f>IF($C368="","",SUMIFS('3 Nhật ký dừng máy'!$I$6:$I$1005,'3 Nhật ký dừng máy'!$A$6:$A$1005,$A368,'3 Nhật ký dừng máy'!$B$6:$B$1005,$B368,'3 Nhật ký dừng máy'!$C$6:$C$1005,$C368,'3 Nhật ký dừng máy'!$K$6:$K$1005,"Ngoài kế hoạch"))</f>
        <v/>
      </c>
      <c r="R368" s="30" t="str">
        <f>IF($C368="","",COUNTIFS('3 Nhật ký dừng máy'!$A$6:$A$1005,$A368,'3 Nhật ký dừng máy'!$B$6:$B$1005,$B368,'3 Nhật ký dừng máy'!$C$6:$C$1005,$C368,'3 Nhật ký dừng máy'!$K$6:$K$1005,"Ngoài kế hoạch"))</f>
        <v/>
      </c>
      <c r="S368" s="31" t="str">
        <f t="shared" si="59"/>
        <v/>
      </c>
      <c r="T368" s="31" t="str">
        <f t="shared" si="60"/>
        <v/>
      </c>
      <c r="U368" s="31" t="str">
        <f t="shared" si="61"/>
        <v/>
      </c>
      <c r="V368" s="32" t="str">
        <f t="shared" si="62"/>
        <v/>
      </c>
      <c r="W368" s="30" t="str">
        <f t="shared" si="63"/>
        <v/>
      </c>
      <c r="X368" s="33" t="str">
        <f t="shared" si="64"/>
        <v/>
      </c>
      <c r="Y368" s="34" t="str">
        <f t="shared" si="65"/>
        <v/>
      </c>
    </row>
    <row r="369" spans="1:25" x14ac:dyDescent="0.2">
      <c r="A369" s="35"/>
      <c r="B369" s="21"/>
      <c r="C369" s="18"/>
      <c r="D369" s="21"/>
      <c r="E369" s="21"/>
      <c r="F369" s="21"/>
      <c r="G369" s="36"/>
      <c r="H369" s="36"/>
      <c r="I369" s="36"/>
      <c r="J369" s="37"/>
      <c r="K369" s="18"/>
      <c r="L369" s="28" t="str">
        <f t="shared" si="55"/>
        <v/>
      </c>
      <c r="M369" s="29" t="str">
        <f t="shared" si="56"/>
        <v/>
      </c>
      <c r="N369" s="29" t="str">
        <f t="shared" si="57"/>
        <v/>
      </c>
      <c r="O369" s="30" t="str">
        <f t="shared" si="58"/>
        <v/>
      </c>
      <c r="P369" s="28" t="str">
        <f>IF($C369="","",IFERROR(INDEX(CA_TG,MATCH(B369,DS_CA,0))-INDEX(CA_NGHI,MATCH(B369,DS_CA,0))-SUMIFS('3 Nhật ký dừng máy'!$I$6:$I$1005,'3 Nhật ký dừng máy'!$A$6:$A$1005,$A369,'3 Nhật ký dừng máy'!$B$6:$B$1005,$B369,'3 Nhật ký dừng máy'!$C$6:$C$1005,$C369,'3 Nhật ký dừng máy'!$K$6:$K$1005,"Có kế hoạch"),"?"))</f>
        <v/>
      </c>
      <c r="Q369" s="28" t="str">
        <f>IF($C369="","",SUMIFS('3 Nhật ký dừng máy'!$I$6:$I$1005,'3 Nhật ký dừng máy'!$A$6:$A$1005,$A369,'3 Nhật ký dừng máy'!$B$6:$B$1005,$B369,'3 Nhật ký dừng máy'!$C$6:$C$1005,$C369,'3 Nhật ký dừng máy'!$K$6:$K$1005,"Ngoài kế hoạch"))</f>
        <v/>
      </c>
      <c r="R369" s="30" t="str">
        <f>IF($C369="","",COUNTIFS('3 Nhật ký dừng máy'!$A$6:$A$1005,$A369,'3 Nhật ký dừng máy'!$B$6:$B$1005,$B369,'3 Nhật ký dừng máy'!$C$6:$C$1005,$C369,'3 Nhật ký dừng máy'!$K$6:$K$1005,"Ngoài kế hoạch"))</f>
        <v/>
      </c>
      <c r="S369" s="31" t="str">
        <f t="shared" si="59"/>
        <v/>
      </c>
      <c r="T369" s="31" t="str">
        <f t="shared" si="60"/>
        <v/>
      </c>
      <c r="U369" s="31" t="str">
        <f t="shared" si="61"/>
        <v/>
      </c>
      <c r="V369" s="32" t="str">
        <f t="shared" si="62"/>
        <v/>
      </c>
      <c r="W369" s="30" t="str">
        <f t="shared" si="63"/>
        <v/>
      </c>
      <c r="X369" s="33" t="str">
        <f t="shared" si="64"/>
        <v/>
      </c>
      <c r="Y369" s="34" t="str">
        <f t="shared" si="65"/>
        <v/>
      </c>
    </row>
    <row r="370" spans="1:25" x14ac:dyDescent="0.2">
      <c r="A370" s="35"/>
      <c r="B370" s="21"/>
      <c r="C370" s="18"/>
      <c r="D370" s="21"/>
      <c r="E370" s="21"/>
      <c r="F370" s="21"/>
      <c r="G370" s="36"/>
      <c r="H370" s="36"/>
      <c r="I370" s="36"/>
      <c r="J370" s="37"/>
      <c r="K370" s="18"/>
      <c r="L370" s="28" t="str">
        <f t="shared" si="55"/>
        <v/>
      </c>
      <c r="M370" s="29" t="str">
        <f t="shared" si="56"/>
        <v/>
      </c>
      <c r="N370" s="29" t="str">
        <f t="shared" si="57"/>
        <v/>
      </c>
      <c r="O370" s="30" t="str">
        <f t="shared" si="58"/>
        <v/>
      </c>
      <c r="P370" s="28" t="str">
        <f>IF($C370="","",IFERROR(INDEX(CA_TG,MATCH(B370,DS_CA,0))-INDEX(CA_NGHI,MATCH(B370,DS_CA,0))-SUMIFS('3 Nhật ký dừng máy'!$I$6:$I$1005,'3 Nhật ký dừng máy'!$A$6:$A$1005,$A370,'3 Nhật ký dừng máy'!$B$6:$B$1005,$B370,'3 Nhật ký dừng máy'!$C$6:$C$1005,$C370,'3 Nhật ký dừng máy'!$K$6:$K$1005,"Có kế hoạch"),"?"))</f>
        <v/>
      </c>
      <c r="Q370" s="28" t="str">
        <f>IF($C370="","",SUMIFS('3 Nhật ký dừng máy'!$I$6:$I$1005,'3 Nhật ký dừng máy'!$A$6:$A$1005,$A370,'3 Nhật ký dừng máy'!$B$6:$B$1005,$B370,'3 Nhật ký dừng máy'!$C$6:$C$1005,$C370,'3 Nhật ký dừng máy'!$K$6:$K$1005,"Ngoài kế hoạch"))</f>
        <v/>
      </c>
      <c r="R370" s="30" t="str">
        <f>IF($C370="","",COUNTIFS('3 Nhật ký dừng máy'!$A$6:$A$1005,$A370,'3 Nhật ký dừng máy'!$B$6:$B$1005,$B370,'3 Nhật ký dừng máy'!$C$6:$C$1005,$C370,'3 Nhật ký dừng máy'!$K$6:$K$1005,"Ngoài kế hoạch"))</f>
        <v/>
      </c>
      <c r="S370" s="31" t="str">
        <f t="shared" si="59"/>
        <v/>
      </c>
      <c r="T370" s="31" t="str">
        <f t="shared" si="60"/>
        <v/>
      </c>
      <c r="U370" s="31" t="str">
        <f t="shared" si="61"/>
        <v/>
      </c>
      <c r="V370" s="32" t="str">
        <f t="shared" si="62"/>
        <v/>
      </c>
      <c r="W370" s="30" t="str">
        <f t="shared" si="63"/>
        <v/>
      </c>
      <c r="X370" s="33" t="str">
        <f t="shared" si="64"/>
        <v/>
      </c>
      <c r="Y370" s="34" t="str">
        <f t="shared" si="65"/>
        <v/>
      </c>
    </row>
    <row r="371" spans="1:25" x14ac:dyDescent="0.2">
      <c r="A371" s="35"/>
      <c r="B371" s="21"/>
      <c r="C371" s="18"/>
      <c r="D371" s="21"/>
      <c r="E371" s="21"/>
      <c r="F371" s="21"/>
      <c r="G371" s="36"/>
      <c r="H371" s="36"/>
      <c r="I371" s="36"/>
      <c r="J371" s="37"/>
      <c r="K371" s="18"/>
      <c r="L371" s="28" t="str">
        <f t="shared" si="55"/>
        <v/>
      </c>
      <c r="M371" s="29" t="str">
        <f t="shared" si="56"/>
        <v/>
      </c>
      <c r="N371" s="29" t="str">
        <f t="shared" si="57"/>
        <v/>
      </c>
      <c r="O371" s="30" t="str">
        <f t="shared" si="58"/>
        <v/>
      </c>
      <c r="P371" s="28" t="str">
        <f>IF($C371="","",IFERROR(INDEX(CA_TG,MATCH(B371,DS_CA,0))-INDEX(CA_NGHI,MATCH(B371,DS_CA,0))-SUMIFS('3 Nhật ký dừng máy'!$I$6:$I$1005,'3 Nhật ký dừng máy'!$A$6:$A$1005,$A371,'3 Nhật ký dừng máy'!$B$6:$B$1005,$B371,'3 Nhật ký dừng máy'!$C$6:$C$1005,$C371,'3 Nhật ký dừng máy'!$K$6:$K$1005,"Có kế hoạch"),"?"))</f>
        <v/>
      </c>
      <c r="Q371" s="28" t="str">
        <f>IF($C371="","",SUMIFS('3 Nhật ký dừng máy'!$I$6:$I$1005,'3 Nhật ký dừng máy'!$A$6:$A$1005,$A371,'3 Nhật ký dừng máy'!$B$6:$B$1005,$B371,'3 Nhật ký dừng máy'!$C$6:$C$1005,$C371,'3 Nhật ký dừng máy'!$K$6:$K$1005,"Ngoài kế hoạch"))</f>
        <v/>
      </c>
      <c r="R371" s="30" t="str">
        <f>IF($C371="","",COUNTIFS('3 Nhật ký dừng máy'!$A$6:$A$1005,$A371,'3 Nhật ký dừng máy'!$B$6:$B$1005,$B371,'3 Nhật ký dừng máy'!$C$6:$C$1005,$C371,'3 Nhật ký dừng máy'!$K$6:$K$1005,"Ngoài kế hoạch"))</f>
        <v/>
      </c>
      <c r="S371" s="31" t="str">
        <f t="shared" si="59"/>
        <v/>
      </c>
      <c r="T371" s="31" t="str">
        <f t="shared" si="60"/>
        <v/>
      </c>
      <c r="U371" s="31" t="str">
        <f t="shared" si="61"/>
        <v/>
      </c>
      <c r="V371" s="32" t="str">
        <f t="shared" si="62"/>
        <v/>
      </c>
      <c r="W371" s="30" t="str">
        <f t="shared" si="63"/>
        <v/>
      </c>
      <c r="X371" s="33" t="str">
        <f t="shared" si="64"/>
        <v/>
      </c>
      <c r="Y371" s="34" t="str">
        <f t="shared" si="65"/>
        <v/>
      </c>
    </row>
    <row r="372" spans="1:25" x14ac:dyDescent="0.2">
      <c r="A372" s="35"/>
      <c r="B372" s="21"/>
      <c r="C372" s="18"/>
      <c r="D372" s="21"/>
      <c r="E372" s="21"/>
      <c r="F372" s="21"/>
      <c r="G372" s="36"/>
      <c r="H372" s="36"/>
      <c r="I372" s="36"/>
      <c r="J372" s="37"/>
      <c r="K372" s="18"/>
      <c r="L372" s="28" t="str">
        <f t="shared" si="55"/>
        <v/>
      </c>
      <c r="M372" s="29" t="str">
        <f t="shared" si="56"/>
        <v/>
      </c>
      <c r="N372" s="29" t="str">
        <f t="shared" si="57"/>
        <v/>
      </c>
      <c r="O372" s="30" t="str">
        <f t="shared" si="58"/>
        <v/>
      </c>
      <c r="P372" s="28" t="str">
        <f>IF($C372="","",IFERROR(INDEX(CA_TG,MATCH(B372,DS_CA,0))-INDEX(CA_NGHI,MATCH(B372,DS_CA,0))-SUMIFS('3 Nhật ký dừng máy'!$I$6:$I$1005,'3 Nhật ký dừng máy'!$A$6:$A$1005,$A372,'3 Nhật ký dừng máy'!$B$6:$B$1005,$B372,'3 Nhật ký dừng máy'!$C$6:$C$1005,$C372,'3 Nhật ký dừng máy'!$K$6:$K$1005,"Có kế hoạch"),"?"))</f>
        <v/>
      </c>
      <c r="Q372" s="28" t="str">
        <f>IF($C372="","",SUMIFS('3 Nhật ký dừng máy'!$I$6:$I$1005,'3 Nhật ký dừng máy'!$A$6:$A$1005,$A372,'3 Nhật ký dừng máy'!$B$6:$B$1005,$B372,'3 Nhật ký dừng máy'!$C$6:$C$1005,$C372,'3 Nhật ký dừng máy'!$K$6:$K$1005,"Ngoài kế hoạch"))</f>
        <v/>
      </c>
      <c r="R372" s="30" t="str">
        <f>IF($C372="","",COUNTIFS('3 Nhật ký dừng máy'!$A$6:$A$1005,$A372,'3 Nhật ký dừng máy'!$B$6:$B$1005,$B372,'3 Nhật ký dừng máy'!$C$6:$C$1005,$C372,'3 Nhật ký dừng máy'!$K$6:$K$1005,"Ngoài kế hoạch"))</f>
        <v/>
      </c>
      <c r="S372" s="31" t="str">
        <f t="shared" si="59"/>
        <v/>
      </c>
      <c r="T372" s="31" t="str">
        <f t="shared" si="60"/>
        <v/>
      </c>
      <c r="U372" s="31" t="str">
        <f t="shared" si="61"/>
        <v/>
      </c>
      <c r="V372" s="32" t="str">
        <f t="shared" si="62"/>
        <v/>
      </c>
      <c r="W372" s="30" t="str">
        <f t="shared" si="63"/>
        <v/>
      </c>
      <c r="X372" s="33" t="str">
        <f t="shared" si="64"/>
        <v/>
      </c>
      <c r="Y372" s="34" t="str">
        <f t="shared" si="65"/>
        <v/>
      </c>
    </row>
    <row r="373" spans="1:25" x14ac:dyDescent="0.2">
      <c r="A373" s="35"/>
      <c r="B373" s="21"/>
      <c r="C373" s="18"/>
      <c r="D373" s="21"/>
      <c r="E373" s="21"/>
      <c r="F373" s="21"/>
      <c r="G373" s="36"/>
      <c r="H373" s="36"/>
      <c r="I373" s="36"/>
      <c r="J373" s="37"/>
      <c r="K373" s="18"/>
      <c r="L373" s="28" t="str">
        <f t="shared" si="55"/>
        <v/>
      </c>
      <c r="M373" s="29" t="str">
        <f t="shared" si="56"/>
        <v/>
      </c>
      <c r="N373" s="29" t="str">
        <f t="shared" si="57"/>
        <v/>
      </c>
      <c r="O373" s="30" t="str">
        <f t="shared" si="58"/>
        <v/>
      </c>
      <c r="P373" s="28" t="str">
        <f>IF($C373="","",IFERROR(INDEX(CA_TG,MATCH(B373,DS_CA,0))-INDEX(CA_NGHI,MATCH(B373,DS_CA,0))-SUMIFS('3 Nhật ký dừng máy'!$I$6:$I$1005,'3 Nhật ký dừng máy'!$A$6:$A$1005,$A373,'3 Nhật ký dừng máy'!$B$6:$B$1005,$B373,'3 Nhật ký dừng máy'!$C$6:$C$1005,$C373,'3 Nhật ký dừng máy'!$K$6:$K$1005,"Có kế hoạch"),"?"))</f>
        <v/>
      </c>
      <c r="Q373" s="28" t="str">
        <f>IF($C373="","",SUMIFS('3 Nhật ký dừng máy'!$I$6:$I$1005,'3 Nhật ký dừng máy'!$A$6:$A$1005,$A373,'3 Nhật ký dừng máy'!$B$6:$B$1005,$B373,'3 Nhật ký dừng máy'!$C$6:$C$1005,$C373,'3 Nhật ký dừng máy'!$K$6:$K$1005,"Ngoài kế hoạch"))</f>
        <v/>
      </c>
      <c r="R373" s="30" t="str">
        <f>IF($C373="","",COUNTIFS('3 Nhật ký dừng máy'!$A$6:$A$1005,$A373,'3 Nhật ký dừng máy'!$B$6:$B$1005,$B373,'3 Nhật ký dừng máy'!$C$6:$C$1005,$C373,'3 Nhật ký dừng máy'!$K$6:$K$1005,"Ngoài kế hoạch"))</f>
        <v/>
      </c>
      <c r="S373" s="31" t="str">
        <f t="shared" si="59"/>
        <v/>
      </c>
      <c r="T373" s="31" t="str">
        <f t="shared" si="60"/>
        <v/>
      </c>
      <c r="U373" s="31" t="str">
        <f t="shared" si="61"/>
        <v/>
      </c>
      <c r="V373" s="32" t="str">
        <f t="shared" si="62"/>
        <v/>
      </c>
      <c r="W373" s="30" t="str">
        <f t="shared" si="63"/>
        <v/>
      </c>
      <c r="X373" s="33" t="str">
        <f t="shared" si="64"/>
        <v/>
      </c>
      <c r="Y373" s="34" t="str">
        <f t="shared" si="65"/>
        <v/>
      </c>
    </row>
    <row r="374" spans="1:25" x14ac:dyDescent="0.2">
      <c r="A374" s="35"/>
      <c r="B374" s="21"/>
      <c r="C374" s="18"/>
      <c r="D374" s="21"/>
      <c r="E374" s="21"/>
      <c r="F374" s="21"/>
      <c r="G374" s="36"/>
      <c r="H374" s="36"/>
      <c r="I374" s="36"/>
      <c r="J374" s="37"/>
      <c r="K374" s="18"/>
      <c r="L374" s="28" t="str">
        <f t="shared" si="55"/>
        <v/>
      </c>
      <c r="M374" s="29" t="str">
        <f t="shared" si="56"/>
        <v/>
      </c>
      <c r="N374" s="29" t="str">
        <f t="shared" si="57"/>
        <v/>
      </c>
      <c r="O374" s="30" t="str">
        <f t="shared" si="58"/>
        <v/>
      </c>
      <c r="P374" s="28" t="str">
        <f>IF($C374="","",IFERROR(INDEX(CA_TG,MATCH(B374,DS_CA,0))-INDEX(CA_NGHI,MATCH(B374,DS_CA,0))-SUMIFS('3 Nhật ký dừng máy'!$I$6:$I$1005,'3 Nhật ký dừng máy'!$A$6:$A$1005,$A374,'3 Nhật ký dừng máy'!$B$6:$B$1005,$B374,'3 Nhật ký dừng máy'!$C$6:$C$1005,$C374,'3 Nhật ký dừng máy'!$K$6:$K$1005,"Có kế hoạch"),"?"))</f>
        <v/>
      </c>
      <c r="Q374" s="28" t="str">
        <f>IF($C374="","",SUMIFS('3 Nhật ký dừng máy'!$I$6:$I$1005,'3 Nhật ký dừng máy'!$A$6:$A$1005,$A374,'3 Nhật ký dừng máy'!$B$6:$B$1005,$B374,'3 Nhật ký dừng máy'!$C$6:$C$1005,$C374,'3 Nhật ký dừng máy'!$K$6:$K$1005,"Ngoài kế hoạch"))</f>
        <v/>
      </c>
      <c r="R374" s="30" t="str">
        <f>IF($C374="","",COUNTIFS('3 Nhật ký dừng máy'!$A$6:$A$1005,$A374,'3 Nhật ký dừng máy'!$B$6:$B$1005,$B374,'3 Nhật ký dừng máy'!$C$6:$C$1005,$C374,'3 Nhật ký dừng máy'!$K$6:$K$1005,"Ngoài kế hoạch"))</f>
        <v/>
      </c>
      <c r="S374" s="31" t="str">
        <f t="shared" si="59"/>
        <v/>
      </c>
      <c r="T374" s="31" t="str">
        <f t="shared" si="60"/>
        <v/>
      </c>
      <c r="U374" s="31" t="str">
        <f t="shared" si="61"/>
        <v/>
      </c>
      <c r="V374" s="32" t="str">
        <f t="shared" si="62"/>
        <v/>
      </c>
      <c r="W374" s="30" t="str">
        <f t="shared" si="63"/>
        <v/>
      </c>
      <c r="X374" s="33" t="str">
        <f t="shared" si="64"/>
        <v/>
      </c>
      <c r="Y374" s="34" t="str">
        <f t="shared" si="65"/>
        <v/>
      </c>
    </row>
    <row r="375" spans="1:25" x14ac:dyDescent="0.2">
      <c r="A375" s="35"/>
      <c r="B375" s="21"/>
      <c r="C375" s="18"/>
      <c r="D375" s="21"/>
      <c r="E375" s="21"/>
      <c r="F375" s="21"/>
      <c r="G375" s="36"/>
      <c r="H375" s="36"/>
      <c r="I375" s="36"/>
      <c r="J375" s="37"/>
      <c r="K375" s="18"/>
      <c r="L375" s="28" t="str">
        <f t="shared" si="55"/>
        <v/>
      </c>
      <c r="M375" s="29" t="str">
        <f t="shared" si="56"/>
        <v/>
      </c>
      <c r="N375" s="29" t="str">
        <f t="shared" si="57"/>
        <v/>
      </c>
      <c r="O375" s="30" t="str">
        <f t="shared" si="58"/>
        <v/>
      </c>
      <c r="P375" s="28" t="str">
        <f>IF($C375="","",IFERROR(INDEX(CA_TG,MATCH(B375,DS_CA,0))-INDEX(CA_NGHI,MATCH(B375,DS_CA,0))-SUMIFS('3 Nhật ký dừng máy'!$I$6:$I$1005,'3 Nhật ký dừng máy'!$A$6:$A$1005,$A375,'3 Nhật ký dừng máy'!$B$6:$B$1005,$B375,'3 Nhật ký dừng máy'!$C$6:$C$1005,$C375,'3 Nhật ký dừng máy'!$K$6:$K$1005,"Có kế hoạch"),"?"))</f>
        <v/>
      </c>
      <c r="Q375" s="28" t="str">
        <f>IF($C375="","",SUMIFS('3 Nhật ký dừng máy'!$I$6:$I$1005,'3 Nhật ký dừng máy'!$A$6:$A$1005,$A375,'3 Nhật ký dừng máy'!$B$6:$B$1005,$B375,'3 Nhật ký dừng máy'!$C$6:$C$1005,$C375,'3 Nhật ký dừng máy'!$K$6:$K$1005,"Ngoài kế hoạch"))</f>
        <v/>
      </c>
      <c r="R375" s="30" t="str">
        <f>IF($C375="","",COUNTIFS('3 Nhật ký dừng máy'!$A$6:$A$1005,$A375,'3 Nhật ký dừng máy'!$B$6:$B$1005,$B375,'3 Nhật ký dừng máy'!$C$6:$C$1005,$C375,'3 Nhật ký dừng máy'!$K$6:$K$1005,"Ngoài kế hoạch"))</f>
        <v/>
      </c>
      <c r="S375" s="31" t="str">
        <f t="shared" si="59"/>
        <v/>
      </c>
      <c r="T375" s="31" t="str">
        <f t="shared" si="60"/>
        <v/>
      </c>
      <c r="U375" s="31" t="str">
        <f t="shared" si="61"/>
        <v/>
      </c>
      <c r="V375" s="32" t="str">
        <f t="shared" si="62"/>
        <v/>
      </c>
      <c r="W375" s="30" t="str">
        <f t="shared" si="63"/>
        <v/>
      </c>
      <c r="X375" s="33" t="str">
        <f t="shared" si="64"/>
        <v/>
      </c>
      <c r="Y375" s="34" t="str">
        <f t="shared" si="65"/>
        <v/>
      </c>
    </row>
    <row r="376" spans="1:25" x14ac:dyDescent="0.2">
      <c r="A376" s="35"/>
      <c r="B376" s="21"/>
      <c r="C376" s="18"/>
      <c r="D376" s="21"/>
      <c r="E376" s="21"/>
      <c r="F376" s="21"/>
      <c r="G376" s="36"/>
      <c r="H376" s="36"/>
      <c r="I376" s="36"/>
      <c r="J376" s="37"/>
      <c r="K376" s="18"/>
      <c r="L376" s="28" t="str">
        <f t="shared" si="55"/>
        <v/>
      </c>
      <c r="M376" s="29" t="str">
        <f t="shared" si="56"/>
        <v/>
      </c>
      <c r="N376" s="29" t="str">
        <f t="shared" si="57"/>
        <v/>
      </c>
      <c r="O376" s="30" t="str">
        <f t="shared" si="58"/>
        <v/>
      </c>
      <c r="P376" s="28" t="str">
        <f>IF($C376="","",IFERROR(INDEX(CA_TG,MATCH(B376,DS_CA,0))-INDEX(CA_NGHI,MATCH(B376,DS_CA,0))-SUMIFS('3 Nhật ký dừng máy'!$I$6:$I$1005,'3 Nhật ký dừng máy'!$A$6:$A$1005,$A376,'3 Nhật ký dừng máy'!$B$6:$B$1005,$B376,'3 Nhật ký dừng máy'!$C$6:$C$1005,$C376,'3 Nhật ký dừng máy'!$K$6:$K$1005,"Có kế hoạch"),"?"))</f>
        <v/>
      </c>
      <c r="Q376" s="28" t="str">
        <f>IF($C376="","",SUMIFS('3 Nhật ký dừng máy'!$I$6:$I$1005,'3 Nhật ký dừng máy'!$A$6:$A$1005,$A376,'3 Nhật ký dừng máy'!$B$6:$B$1005,$B376,'3 Nhật ký dừng máy'!$C$6:$C$1005,$C376,'3 Nhật ký dừng máy'!$K$6:$K$1005,"Ngoài kế hoạch"))</f>
        <v/>
      </c>
      <c r="R376" s="30" t="str">
        <f>IF($C376="","",COUNTIFS('3 Nhật ký dừng máy'!$A$6:$A$1005,$A376,'3 Nhật ký dừng máy'!$B$6:$B$1005,$B376,'3 Nhật ký dừng máy'!$C$6:$C$1005,$C376,'3 Nhật ký dừng máy'!$K$6:$K$1005,"Ngoài kế hoạch"))</f>
        <v/>
      </c>
      <c r="S376" s="31" t="str">
        <f t="shared" si="59"/>
        <v/>
      </c>
      <c r="T376" s="31" t="str">
        <f t="shared" si="60"/>
        <v/>
      </c>
      <c r="U376" s="31" t="str">
        <f t="shared" si="61"/>
        <v/>
      </c>
      <c r="V376" s="32" t="str">
        <f t="shared" si="62"/>
        <v/>
      </c>
      <c r="W376" s="30" t="str">
        <f t="shared" si="63"/>
        <v/>
      </c>
      <c r="X376" s="33" t="str">
        <f t="shared" si="64"/>
        <v/>
      </c>
      <c r="Y376" s="34" t="str">
        <f t="shared" si="65"/>
        <v/>
      </c>
    </row>
    <row r="377" spans="1:25" x14ac:dyDescent="0.2">
      <c r="A377" s="35"/>
      <c r="B377" s="21"/>
      <c r="C377" s="18"/>
      <c r="D377" s="21"/>
      <c r="E377" s="21"/>
      <c r="F377" s="21"/>
      <c r="G377" s="36"/>
      <c r="H377" s="36"/>
      <c r="I377" s="36"/>
      <c r="J377" s="37"/>
      <c r="K377" s="18"/>
      <c r="L377" s="28" t="str">
        <f t="shared" si="55"/>
        <v/>
      </c>
      <c r="M377" s="29" t="str">
        <f t="shared" si="56"/>
        <v/>
      </c>
      <c r="N377" s="29" t="str">
        <f t="shared" si="57"/>
        <v/>
      </c>
      <c r="O377" s="30" t="str">
        <f t="shared" si="58"/>
        <v/>
      </c>
      <c r="P377" s="28" t="str">
        <f>IF($C377="","",IFERROR(INDEX(CA_TG,MATCH(B377,DS_CA,0))-INDEX(CA_NGHI,MATCH(B377,DS_CA,0))-SUMIFS('3 Nhật ký dừng máy'!$I$6:$I$1005,'3 Nhật ký dừng máy'!$A$6:$A$1005,$A377,'3 Nhật ký dừng máy'!$B$6:$B$1005,$B377,'3 Nhật ký dừng máy'!$C$6:$C$1005,$C377,'3 Nhật ký dừng máy'!$K$6:$K$1005,"Có kế hoạch"),"?"))</f>
        <v/>
      </c>
      <c r="Q377" s="28" t="str">
        <f>IF($C377="","",SUMIFS('3 Nhật ký dừng máy'!$I$6:$I$1005,'3 Nhật ký dừng máy'!$A$6:$A$1005,$A377,'3 Nhật ký dừng máy'!$B$6:$B$1005,$B377,'3 Nhật ký dừng máy'!$C$6:$C$1005,$C377,'3 Nhật ký dừng máy'!$K$6:$K$1005,"Ngoài kế hoạch"))</f>
        <v/>
      </c>
      <c r="R377" s="30" t="str">
        <f>IF($C377="","",COUNTIFS('3 Nhật ký dừng máy'!$A$6:$A$1005,$A377,'3 Nhật ký dừng máy'!$B$6:$B$1005,$B377,'3 Nhật ký dừng máy'!$C$6:$C$1005,$C377,'3 Nhật ký dừng máy'!$K$6:$K$1005,"Ngoài kế hoạch"))</f>
        <v/>
      </c>
      <c r="S377" s="31" t="str">
        <f t="shared" si="59"/>
        <v/>
      </c>
      <c r="T377" s="31" t="str">
        <f t="shared" si="60"/>
        <v/>
      </c>
      <c r="U377" s="31" t="str">
        <f t="shared" si="61"/>
        <v/>
      </c>
      <c r="V377" s="32" t="str">
        <f t="shared" si="62"/>
        <v/>
      </c>
      <c r="W377" s="30" t="str">
        <f t="shared" si="63"/>
        <v/>
      </c>
      <c r="X377" s="33" t="str">
        <f t="shared" si="64"/>
        <v/>
      </c>
      <c r="Y377" s="34" t="str">
        <f t="shared" si="65"/>
        <v/>
      </c>
    </row>
    <row r="378" spans="1:25" x14ac:dyDescent="0.2">
      <c r="A378" s="35"/>
      <c r="B378" s="21"/>
      <c r="C378" s="18"/>
      <c r="D378" s="21"/>
      <c r="E378" s="21"/>
      <c r="F378" s="21"/>
      <c r="G378" s="36"/>
      <c r="H378" s="36"/>
      <c r="I378" s="36"/>
      <c r="J378" s="37"/>
      <c r="K378" s="18"/>
      <c r="L378" s="28" t="str">
        <f t="shared" si="55"/>
        <v/>
      </c>
      <c r="M378" s="29" t="str">
        <f t="shared" si="56"/>
        <v/>
      </c>
      <c r="N378" s="29" t="str">
        <f t="shared" si="57"/>
        <v/>
      </c>
      <c r="O378" s="30" t="str">
        <f t="shared" si="58"/>
        <v/>
      </c>
      <c r="P378" s="28" t="str">
        <f>IF($C378="","",IFERROR(INDEX(CA_TG,MATCH(B378,DS_CA,0))-INDEX(CA_NGHI,MATCH(B378,DS_CA,0))-SUMIFS('3 Nhật ký dừng máy'!$I$6:$I$1005,'3 Nhật ký dừng máy'!$A$6:$A$1005,$A378,'3 Nhật ký dừng máy'!$B$6:$B$1005,$B378,'3 Nhật ký dừng máy'!$C$6:$C$1005,$C378,'3 Nhật ký dừng máy'!$K$6:$K$1005,"Có kế hoạch"),"?"))</f>
        <v/>
      </c>
      <c r="Q378" s="28" t="str">
        <f>IF($C378="","",SUMIFS('3 Nhật ký dừng máy'!$I$6:$I$1005,'3 Nhật ký dừng máy'!$A$6:$A$1005,$A378,'3 Nhật ký dừng máy'!$B$6:$B$1005,$B378,'3 Nhật ký dừng máy'!$C$6:$C$1005,$C378,'3 Nhật ký dừng máy'!$K$6:$K$1005,"Ngoài kế hoạch"))</f>
        <v/>
      </c>
      <c r="R378" s="30" t="str">
        <f>IF($C378="","",COUNTIFS('3 Nhật ký dừng máy'!$A$6:$A$1005,$A378,'3 Nhật ký dừng máy'!$B$6:$B$1005,$B378,'3 Nhật ký dừng máy'!$C$6:$C$1005,$C378,'3 Nhật ký dừng máy'!$K$6:$K$1005,"Ngoài kế hoạch"))</f>
        <v/>
      </c>
      <c r="S378" s="31" t="str">
        <f t="shared" si="59"/>
        <v/>
      </c>
      <c r="T378" s="31" t="str">
        <f t="shared" si="60"/>
        <v/>
      </c>
      <c r="U378" s="31" t="str">
        <f t="shared" si="61"/>
        <v/>
      </c>
      <c r="V378" s="32" t="str">
        <f t="shared" si="62"/>
        <v/>
      </c>
      <c r="W378" s="30" t="str">
        <f t="shared" si="63"/>
        <v/>
      </c>
      <c r="X378" s="33" t="str">
        <f t="shared" si="64"/>
        <v/>
      </c>
      <c r="Y378" s="34" t="str">
        <f t="shared" si="65"/>
        <v/>
      </c>
    </row>
    <row r="379" spans="1:25" x14ac:dyDescent="0.2">
      <c r="A379" s="35"/>
      <c r="B379" s="21"/>
      <c r="C379" s="18"/>
      <c r="D379" s="21"/>
      <c r="E379" s="21"/>
      <c r="F379" s="21"/>
      <c r="G379" s="36"/>
      <c r="H379" s="36"/>
      <c r="I379" s="36"/>
      <c r="J379" s="37"/>
      <c r="K379" s="18"/>
      <c r="L379" s="28" t="str">
        <f t="shared" si="55"/>
        <v/>
      </c>
      <c r="M379" s="29" t="str">
        <f t="shared" si="56"/>
        <v/>
      </c>
      <c r="N379" s="29" t="str">
        <f t="shared" si="57"/>
        <v/>
      </c>
      <c r="O379" s="30" t="str">
        <f t="shared" si="58"/>
        <v/>
      </c>
      <c r="P379" s="28" t="str">
        <f>IF($C379="","",IFERROR(INDEX(CA_TG,MATCH(B379,DS_CA,0))-INDEX(CA_NGHI,MATCH(B379,DS_CA,0))-SUMIFS('3 Nhật ký dừng máy'!$I$6:$I$1005,'3 Nhật ký dừng máy'!$A$6:$A$1005,$A379,'3 Nhật ký dừng máy'!$B$6:$B$1005,$B379,'3 Nhật ký dừng máy'!$C$6:$C$1005,$C379,'3 Nhật ký dừng máy'!$K$6:$K$1005,"Có kế hoạch"),"?"))</f>
        <v/>
      </c>
      <c r="Q379" s="28" t="str">
        <f>IF($C379="","",SUMIFS('3 Nhật ký dừng máy'!$I$6:$I$1005,'3 Nhật ký dừng máy'!$A$6:$A$1005,$A379,'3 Nhật ký dừng máy'!$B$6:$B$1005,$B379,'3 Nhật ký dừng máy'!$C$6:$C$1005,$C379,'3 Nhật ký dừng máy'!$K$6:$K$1005,"Ngoài kế hoạch"))</f>
        <v/>
      </c>
      <c r="R379" s="30" t="str">
        <f>IF($C379="","",COUNTIFS('3 Nhật ký dừng máy'!$A$6:$A$1005,$A379,'3 Nhật ký dừng máy'!$B$6:$B$1005,$B379,'3 Nhật ký dừng máy'!$C$6:$C$1005,$C379,'3 Nhật ký dừng máy'!$K$6:$K$1005,"Ngoài kế hoạch"))</f>
        <v/>
      </c>
      <c r="S379" s="31" t="str">
        <f t="shared" si="59"/>
        <v/>
      </c>
      <c r="T379" s="31" t="str">
        <f t="shared" si="60"/>
        <v/>
      </c>
      <c r="U379" s="31" t="str">
        <f t="shared" si="61"/>
        <v/>
      </c>
      <c r="V379" s="32" t="str">
        <f t="shared" si="62"/>
        <v/>
      </c>
      <c r="W379" s="30" t="str">
        <f t="shared" si="63"/>
        <v/>
      </c>
      <c r="X379" s="33" t="str">
        <f t="shared" si="64"/>
        <v/>
      </c>
      <c r="Y379" s="34" t="str">
        <f t="shared" si="65"/>
        <v/>
      </c>
    </row>
    <row r="380" spans="1:25" x14ac:dyDescent="0.2">
      <c r="A380" s="35"/>
      <c r="B380" s="21"/>
      <c r="C380" s="18"/>
      <c r="D380" s="21"/>
      <c r="E380" s="21"/>
      <c r="F380" s="21"/>
      <c r="G380" s="36"/>
      <c r="H380" s="36"/>
      <c r="I380" s="36"/>
      <c r="J380" s="37"/>
      <c r="K380" s="18"/>
      <c r="L380" s="28" t="str">
        <f t="shared" si="55"/>
        <v/>
      </c>
      <c r="M380" s="29" t="str">
        <f t="shared" si="56"/>
        <v/>
      </c>
      <c r="N380" s="29" t="str">
        <f t="shared" si="57"/>
        <v/>
      </c>
      <c r="O380" s="30" t="str">
        <f t="shared" si="58"/>
        <v/>
      </c>
      <c r="P380" s="28" t="str">
        <f>IF($C380="","",IFERROR(INDEX(CA_TG,MATCH(B380,DS_CA,0))-INDEX(CA_NGHI,MATCH(B380,DS_CA,0))-SUMIFS('3 Nhật ký dừng máy'!$I$6:$I$1005,'3 Nhật ký dừng máy'!$A$6:$A$1005,$A380,'3 Nhật ký dừng máy'!$B$6:$B$1005,$B380,'3 Nhật ký dừng máy'!$C$6:$C$1005,$C380,'3 Nhật ký dừng máy'!$K$6:$K$1005,"Có kế hoạch"),"?"))</f>
        <v/>
      </c>
      <c r="Q380" s="28" t="str">
        <f>IF($C380="","",SUMIFS('3 Nhật ký dừng máy'!$I$6:$I$1005,'3 Nhật ký dừng máy'!$A$6:$A$1005,$A380,'3 Nhật ký dừng máy'!$B$6:$B$1005,$B380,'3 Nhật ký dừng máy'!$C$6:$C$1005,$C380,'3 Nhật ký dừng máy'!$K$6:$K$1005,"Ngoài kế hoạch"))</f>
        <v/>
      </c>
      <c r="R380" s="30" t="str">
        <f>IF($C380="","",COUNTIFS('3 Nhật ký dừng máy'!$A$6:$A$1005,$A380,'3 Nhật ký dừng máy'!$B$6:$B$1005,$B380,'3 Nhật ký dừng máy'!$C$6:$C$1005,$C380,'3 Nhật ký dừng máy'!$K$6:$K$1005,"Ngoài kế hoạch"))</f>
        <v/>
      </c>
      <c r="S380" s="31" t="str">
        <f t="shared" si="59"/>
        <v/>
      </c>
      <c r="T380" s="31" t="str">
        <f t="shared" si="60"/>
        <v/>
      </c>
      <c r="U380" s="31" t="str">
        <f t="shared" si="61"/>
        <v/>
      </c>
      <c r="V380" s="32" t="str">
        <f t="shared" si="62"/>
        <v/>
      </c>
      <c r="W380" s="30" t="str">
        <f t="shared" si="63"/>
        <v/>
      </c>
      <c r="X380" s="33" t="str">
        <f t="shared" si="64"/>
        <v/>
      </c>
      <c r="Y380" s="34" t="str">
        <f t="shared" si="65"/>
        <v/>
      </c>
    </row>
    <row r="381" spans="1:25" x14ac:dyDescent="0.2">
      <c r="A381" s="35"/>
      <c r="B381" s="21"/>
      <c r="C381" s="18"/>
      <c r="D381" s="21"/>
      <c r="E381" s="21"/>
      <c r="F381" s="21"/>
      <c r="G381" s="36"/>
      <c r="H381" s="36"/>
      <c r="I381" s="36"/>
      <c r="J381" s="37"/>
      <c r="K381" s="18"/>
      <c r="L381" s="28" t="str">
        <f t="shared" si="55"/>
        <v/>
      </c>
      <c r="M381" s="29" t="str">
        <f t="shared" si="56"/>
        <v/>
      </c>
      <c r="N381" s="29" t="str">
        <f t="shared" si="57"/>
        <v/>
      </c>
      <c r="O381" s="30" t="str">
        <f t="shared" si="58"/>
        <v/>
      </c>
      <c r="P381" s="28" t="str">
        <f>IF($C381="","",IFERROR(INDEX(CA_TG,MATCH(B381,DS_CA,0))-INDEX(CA_NGHI,MATCH(B381,DS_CA,0))-SUMIFS('3 Nhật ký dừng máy'!$I$6:$I$1005,'3 Nhật ký dừng máy'!$A$6:$A$1005,$A381,'3 Nhật ký dừng máy'!$B$6:$B$1005,$B381,'3 Nhật ký dừng máy'!$C$6:$C$1005,$C381,'3 Nhật ký dừng máy'!$K$6:$K$1005,"Có kế hoạch"),"?"))</f>
        <v/>
      </c>
      <c r="Q381" s="28" t="str">
        <f>IF($C381="","",SUMIFS('3 Nhật ký dừng máy'!$I$6:$I$1005,'3 Nhật ký dừng máy'!$A$6:$A$1005,$A381,'3 Nhật ký dừng máy'!$B$6:$B$1005,$B381,'3 Nhật ký dừng máy'!$C$6:$C$1005,$C381,'3 Nhật ký dừng máy'!$K$6:$K$1005,"Ngoài kế hoạch"))</f>
        <v/>
      </c>
      <c r="R381" s="30" t="str">
        <f>IF($C381="","",COUNTIFS('3 Nhật ký dừng máy'!$A$6:$A$1005,$A381,'3 Nhật ký dừng máy'!$B$6:$B$1005,$B381,'3 Nhật ký dừng máy'!$C$6:$C$1005,$C381,'3 Nhật ký dừng máy'!$K$6:$K$1005,"Ngoài kế hoạch"))</f>
        <v/>
      </c>
      <c r="S381" s="31" t="str">
        <f t="shared" si="59"/>
        <v/>
      </c>
      <c r="T381" s="31" t="str">
        <f t="shared" si="60"/>
        <v/>
      </c>
      <c r="U381" s="31" t="str">
        <f t="shared" si="61"/>
        <v/>
      </c>
      <c r="V381" s="32" t="str">
        <f t="shared" si="62"/>
        <v/>
      </c>
      <c r="W381" s="30" t="str">
        <f t="shared" si="63"/>
        <v/>
      </c>
      <c r="X381" s="33" t="str">
        <f t="shared" si="64"/>
        <v/>
      </c>
      <c r="Y381" s="34" t="str">
        <f t="shared" si="65"/>
        <v/>
      </c>
    </row>
    <row r="382" spans="1:25" x14ac:dyDescent="0.2">
      <c r="A382" s="35"/>
      <c r="B382" s="21"/>
      <c r="C382" s="18"/>
      <c r="D382" s="21"/>
      <c r="E382" s="21"/>
      <c r="F382" s="21"/>
      <c r="G382" s="36"/>
      <c r="H382" s="36"/>
      <c r="I382" s="36"/>
      <c r="J382" s="37"/>
      <c r="K382" s="18"/>
      <c r="L382" s="28" t="str">
        <f t="shared" si="55"/>
        <v/>
      </c>
      <c r="M382" s="29" t="str">
        <f t="shared" si="56"/>
        <v/>
      </c>
      <c r="N382" s="29" t="str">
        <f t="shared" si="57"/>
        <v/>
      </c>
      <c r="O382" s="30" t="str">
        <f t="shared" si="58"/>
        <v/>
      </c>
      <c r="P382" s="28" t="str">
        <f>IF($C382="","",IFERROR(INDEX(CA_TG,MATCH(B382,DS_CA,0))-INDEX(CA_NGHI,MATCH(B382,DS_CA,0))-SUMIFS('3 Nhật ký dừng máy'!$I$6:$I$1005,'3 Nhật ký dừng máy'!$A$6:$A$1005,$A382,'3 Nhật ký dừng máy'!$B$6:$B$1005,$B382,'3 Nhật ký dừng máy'!$C$6:$C$1005,$C382,'3 Nhật ký dừng máy'!$K$6:$K$1005,"Có kế hoạch"),"?"))</f>
        <v/>
      </c>
      <c r="Q382" s="28" t="str">
        <f>IF($C382="","",SUMIFS('3 Nhật ký dừng máy'!$I$6:$I$1005,'3 Nhật ký dừng máy'!$A$6:$A$1005,$A382,'3 Nhật ký dừng máy'!$B$6:$B$1005,$B382,'3 Nhật ký dừng máy'!$C$6:$C$1005,$C382,'3 Nhật ký dừng máy'!$K$6:$K$1005,"Ngoài kế hoạch"))</f>
        <v/>
      </c>
      <c r="R382" s="30" t="str">
        <f>IF($C382="","",COUNTIFS('3 Nhật ký dừng máy'!$A$6:$A$1005,$A382,'3 Nhật ký dừng máy'!$B$6:$B$1005,$B382,'3 Nhật ký dừng máy'!$C$6:$C$1005,$C382,'3 Nhật ký dừng máy'!$K$6:$K$1005,"Ngoài kế hoạch"))</f>
        <v/>
      </c>
      <c r="S382" s="31" t="str">
        <f t="shared" si="59"/>
        <v/>
      </c>
      <c r="T382" s="31" t="str">
        <f t="shared" si="60"/>
        <v/>
      </c>
      <c r="U382" s="31" t="str">
        <f t="shared" si="61"/>
        <v/>
      </c>
      <c r="V382" s="32" t="str">
        <f t="shared" si="62"/>
        <v/>
      </c>
      <c r="W382" s="30" t="str">
        <f t="shared" si="63"/>
        <v/>
      </c>
      <c r="X382" s="33" t="str">
        <f t="shared" si="64"/>
        <v/>
      </c>
      <c r="Y382" s="34" t="str">
        <f t="shared" si="65"/>
        <v/>
      </c>
    </row>
    <row r="383" spans="1:25" x14ac:dyDescent="0.2">
      <c r="A383" s="35"/>
      <c r="B383" s="21"/>
      <c r="C383" s="18"/>
      <c r="D383" s="21"/>
      <c r="E383" s="21"/>
      <c r="F383" s="21"/>
      <c r="G383" s="36"/>
      <c r="H383" s="36"/>
      <c r="I383" s="36"/>
      <c r="J383" s="37"/>
      <c r="K383" s="18"/>
      <c r="L383" s="28" t="str">
        <f t="shared" si="55"/>
        <v/>
      </c>
      <c r="M383" s="29" t="str">
        <f t="shared" si="56"/>
        <v/>
      </c>
      <c r="N383" s="29" t="str">
        <f t="shared" si="57"/>
        <v/>
      </c>
      <c r="O383" s="30" t="str">
        <f t="shared" si="58"/>
        <v/>
      </c>
      <c r="P383" s="28" t="str">
        <f>IF($C383="","",IFERROR(INDEX(CA_TG,MATCH(B383,DS_CA,0))-INDEX(CA_NGHI,MATCH(B383,DS_CA,0))-SUMIFS('3 Nhật ký dừng máy'!$I$6:$I$1005,'3 Nhật ký dừng máy'!$A$6:$A$1005,$A383,'3 Nhật ký dừng máy'!$B$6:$B$1005,$B383,'3 Nhật ký dừng máy'!$C$6:$C$1005,$C383,'3 Nhật ký dừng máy'!$K$6:$K$1005,"Có kế hoạch"),"?"))</f>
        <v/>
      </c>
      <c r="Q383" s="28" t="str">
        <f>IF($C383="","",SUMIFS('3 Nhật ký dừng máy'!$I$6:$I$1005,'3 Nhật ký dừng máy'!$A$6:$A$1005,$A383,'3 Nhật ký dừng máy'!$B$6:$B$1005,$B383,'3 Nhật ký dừng máy'!$C$6:$C$1005,$C383,'3 Nhật ký dừng máy'!$K$6:$K$1005,"Ngoài kế hoạch"))</f>
        <v/>
      </c>
      <c r="R383" s="30" t="str">
        <f>IF($C383="","",COUNTIFS('3 Nhật ký dừng máy'!$A$6:$A$1005,$A383,'3 Nhật ký dừng máy'!$B$6:$B$1005,$B383,'3 Nhật ký dừng máy'!$C$6:$C$1005,$C383,'3 Nhật ký dừng máy'!$K$6:$K$1005,"Ngoài kế hoạch"))</f>
        <v/>
      </c>
      <c r="S383" s="31" t="str">
        <f t="shared" si="59"/>
        <v/>
      </c>
      <c r="T383" s="31" t="str">
        <f t="shared" si="60"/>
        <v/>
      </c>
      <c r="U383" s="31" t="str">
        <f t="shared" si="61"/>
        <v/>
      </c>
      <c r="V383" s="32" t="str">
        <f t="shared" si="62"/>
        <v/>
      </c>
      <c r="W383" s="30" t="str">
        <f t="shared" si="63"/>
        <v/>
      </c>
      <c r="X383" s="33" t="str">
        <f t="shared" si="64"/>
        <v/>
      </c>
      <c r="Y383" s="34" t="str">
        <f t="shared" si="65"/>
        <v/>
      </c>
    </row>
    <row r="384" spans="1:25" x14ac:dyDescent="0.2">
      <c r="A384" s="35"/>
      <c r="B384" s="21"/>
      <c r="C384" s="18"/>
      <c r="D384" s="21"/>
      <c r="E384" s="21"/>
      <c r="F384" s="21"/>
      <c r="G384" s="36"/>
      <c r="H384" s="36"/>
      <c r="I384" s="36"/>
      <c r="J384" s="37"/>
      <c r="K384" s="18"/>
      <c r="L384" s="28" t="str">
        <f t="shared" si="55"/>
        <v/>
      </c>
      <c r="M384" s="29" t="str">
        <f t="shared" si="56"/>
        <v/>
      </c>
      <c r="N384" s="29" t="str">
        <f t="shared" si="57"/>
        <v/>
      </c>
      <c r="O384" s="30" t="str">
        <f t="shared" si="58"/>
        <v/>
      </c>
      <c r="P384" s="28" t="str">
        <f>IF($C384="","",IFERROR(INDEX(CA_TG,MATCH(B384,DS_CA,0))-INDEX(CA_NGHI,MATCH(B384,DS_CA,0))-SUMIFS('3 Nhật ký dừng máy'!$I$6:$I$1005,'3 Nhật ký dừng máy'!$A$6:$A$1005,$A384,'3 Nhật ký dừng máy'!$B$6:$B$1005,$B384,'3 Nhật ký dừng máy'!$C$6:$C$1005,$C384,'3 Nhật ký dừng máy'!$K$6:$K$1005,"Có kế hoạch"),"?"))</f>
        <v/>
      </c>
      <c r="Q384" s="28" t="str">
        <f>IF($C384="","",SUMIFS('3 Nhật ký dừng máy'!$I$6:$I$1005,'3 Nhật ký dừng máy'!$A$6:$A$1005,$A384,'3 Nhật ký dừng máy'!$B$6:$B$1005,$B384,'3 Nhật ký dừng máy'!$C$6:$C$1005,$C384,'3 Nhật ký dừng máy'!$K$6:$K$1005,"Ngoài kế hoạch"))</f>
        <v/>
      </c>
      <c r="R384" s="30" t="str">
        <f>IF($C384="","",COUNTIFS('3 Nhật ký dừng máy'!$A$6:$A$1005,$A384,'3 Nhật ký dừng máy'!$B$6:$B$1005,$B384,'3 Nhật ký dừng máy'!$C$6:$C$1005,$C384,'3 Nhật ký dừng máy'!$K$6:$K$1005,"Ngoài kế hoạch"))</f>
        <v/>
      </c>
      <c r="S384" s="31" t="str">
        <f t="shared" si="59"/>
        <v/>
      </c>
      <c r="T384" s="31" t="str">
        <f t="shared" si="60"/>
        <v/>
      </c>
      <c r="U384" s="31" t="str">
        <f t="shared" si="61"/>
        <v/>
      </c>
      <c r="V384" s="32" t="str">
        <f t="shared" si="62"/>
        <v/>
      </c>
      <c r="W384" s="30" t="str">
        <f t="shared" si="63"/>
        <v/>
      </c>
      <c r="X384" s="33" t="str">
        <f t="shared" si="64"/>
        <v/>
      </c>
      <c r="Y384" s="34" t="str">
        <f t="shared" si="65"/>
        <v/>
      </c>
    </row>
    <row r="385" spans="1:25" x14ac:dyDescent="0.2">
      <c r="A385" s="35"/>
      <c r="B385" s="21"/>
      <c r="C385" s="18"/>
      <c r="D385" s="21"/>
      <c r="E385" s="21"/>
      <c r="F385" s="21"/>
      <c r="G385" s="36"/>
      <c r="H385" s="36"/>
      <c r="I385" s="36"/>
      <c r="J385" s="37"/>
      <c r="K385" s="18"/>
      <c r="L385" s="28" t="str">
        <f t="shared" si="55"/>
        <v/>
      </c>
      <c r="M385" s="29" t="str">
        <f t="shared" si="56"/>
        <v/>
      </c>
      <c r="N385" s="29" t="str">
        <f t="shared" si="57"/>
        <v/>
      </c>
      <c r="O385" s="30" t="str">
        <f t="shared" si="58"/>
        <v/>
      </c>
      <c r="P385" s="28" t="str">
        <f>IF($C385="","",IFERROR(INDEX(CA_TG,MATCH(B385,DS_CA,0))-INDEX(CA_NGHI,MATCH(B385,DS_CA,0))-SUMIFS('3 Nhật ký dừng máy'!$I$6:$I$1005,'3 Nhật ký dừng máy'!$A$6:$A$1005,$A385,'3 Nhật ký dừng máy'!$B$6:$B$1005,$B385,'3 Nhật ký dừng máy'!$C$6:$C$1005,$C385,'3 Nhật ký dừng máy'!$K$6:$K$1005,"Có kế hoạch"),"?"))</f>
        <v/>
      </c>
      <c r="Q385" s="28" t="str">
        <f>IF($C385="","",SUMIFS('3 Nhật ký dừng máy'!$I$6:$I$1005,'3 Nhật ký dừng máy'!$A$6:$A$1005,$A385,'3 Nhật ký dừng máy'!$B$6:$B$1005,$B385,'3 Nhật ký dừng máy'!$C$6:$C$1005,$C385,'3 Nhật ký dừng máy'!$K$6:$K$1005,"Ngoài kế hoạch"))</f>
        <v/>
      </c>
      <c r="R385" s="30" t="str">
        <f>IF($C385="","",COUNTIFS('3 Nhật ký dừng máy'!$A$6:$A$1005,$A385,'3 Nhật ký dừng máy'!$B$6:$B$1005,$B385,'3 Nhật ký dừng máy'!$C$6:$C$1005,$C385,'3 Nhật ký dừng máy'!$K$6:$K$1005,"Ngoài kế hoạch"))</f>
        <v/>
      </c>
      <c r="S385" s="31" t="str">
        <f t="shared" si="59"/>
        <v/>
      </c>
      <c r="T385" s="31" t="str">
        <f t="shared" si="60"/>
        <v/>
      </c>
      <c r="U385" s="31" t="str">
        <f t="shared" si="61"/>
        <v/>
      </c>
      <c r="V385" s="32" t="str">
        <f t="shared" si="62"/>
        <v/>
      </c>
      <c r="W385" s="30" t="str">
        <f t="shared" si="63"/>
        <v/>
      </c>
      <c r="X385" s="33" t="str">
        <f t="shared" si="64"/>
        <v/>
      </c>
      <c r="Y385" s="34" t="str">
        <f t="shared" si="65"/>
        <v/>
      </c>
    </row>
    <row r="386" spans="1:25" x14ac:dyDescent="0.2">
      <c r="A386" s="35"/>
      <c r="B386" s="21"/>
      <c r="C386" s="18"/>
      <c r="D386" s="21"/>
      <c r="E386" s="21"/>
      <c r="F386" s="21"/>
      <c r="G386" s="36"/>
      <c r="H386" s="36"/>
      <c r="I386" s="36"/>
      <c r="J386" s="37"/>
      <c r="K386" s="18"/>
      <c r="L386" s="28" t="str">
        <f t="shared" si="55"/>
        <v/>
      </c>
      <c r="M386" s="29" t="str">
        <f t="shared" si="56"/>
        <v/>
      </c>
      <c r="N386" s="29" t="str">
        <f t="shared" si="57"/>
        <v/>
      </c>
      <c r="O386" s="30" t="str">
        <f t="shared" si="58"/>
        <v/>
      </c>
      <c r="P386" s="28" t="str">
        <f>IF($C386="","",IFERROR(INDEX(CA_TG,MATCH(B386,DS_CA,0))-INDEX(CA_NGHI,MATCH(B386,DS_CA,0))-SUMIFS('3 Nhật ký dừng máy'!$I$6:$I$1005,'3 Nhật ký dừng máy'!$A$6:$A$1005,$A386,'3 Nhật ký dừng máy'!$B$6:$B$1005,$B386,'3 Nhật ký dừng máy'!$C$6:$C$1005,$C386,'3 Nhật ký dừng máy'!$K$6:$K$1005,"Có kế hoạch"),"?"))</f>
        <v/>
      </c>
      <c r="Q386" s="28" t="str">
        <f>IF($C386="","",SUMIFS('3 Nhật ký dừng máy'!$I$6:$I$1005,'3 Nhật ký dừng máy'!$A$6:$A$1005,$A386,'3 Nhật ký dừng máy'!$B$6:$B$1005,$B386,'3 Nhật ký dừng máy'!$C$6:$C$1005,$C386,'3 Nhật ký dừng máy'!$K$6:$K$1005,"Ngoài kế hoạch"))</f>
        <v/>
      </c>
      <c r="R386" s="30" t="str">
        <f>IF($C386="","",COUNTIFS('3 Nhật ký dừng máy'!$A$6:$A$1005,$A386,'3 Nhật ký dừng máy'!$B$6:$B$1005,$B386,'3 Nhật ký dừng máy'!$C$6:$C$1005,$C386,'3 Nhật ký dừng máy'!$K$6:$K$1005,"Ngoài kế hoạch"))</f>
        <v/>
      </c>
      <c r="S386" s="31" t="str">
        <f t="shared" si="59"/>
        <v/>
      </c>
      <c r="T386" s="31" t="str">
        <f t="shared" si="60"/>
        <v/>
      </c>
      <c r="U386" s="31" t="str">
        <f t="shared" si="61"/>
        <v/>
      </c>
      <c r="V386" s="32" t="str">
        <f t="shared" si="62"/>
        <v/>
      </c>
      <c r="W386" s="30" t="str">
        <f t="shared" si="63"/>
        <v/>
      </c>
      <c r="X386" s="33" t="str">
        <f t="shared" si="64"/>
        <v/>
      </c>
      <c r="Y386" s="34" t="str">
        <f t="shared" si="65"/>
        <v/>
      </c>
    </row>
    <row r="387" spans="1:25" x14ac:dyDescent="0.2">
      <c r="A387" s="35"/>
      <c r="B387" s="21"/>
      <c r="C387" s="18"/>
      <c r="D387" s="21"/>
      <c r="E387" s="21"/>
      <c r="F387" s="21"/>
      <c r="G387" s="36"/>
      <c r="H387" s="36"/>
      <c r="I387" s="36"/>
      <c r="J387" s="37"/>
      <c r="K387" s="18"/>
      <c r="L387" s="28" t="str">
        <f t="shared" si="55"/>
        <v/>
      </c>
      <c r="M387" s="29" t="str">
        <f t="shared" si="56"/>
        <v/>
      </c>
      <c r="N387" s="29" t="str">
        <f t="shared" si="57"/>
        <v/>
      </c>
      <c r="O387" s="30" t="str">
        <f t="shared" si="58"/>
        <v/>
      </c>
      <c r="P387" s="28" t="str">
        <f>IF($C387="","",IFERROR(INDEX(CA_TG,MATCH(B387,DS_CA,0))-INDEX(CA_NGHI,MATCH(B387,DS_CA,0))-SUMIFS('3 Nhật ký dừng máy'!$I$6:$I$1005,'3 Nhật ký dừng máy'!$A$6:$A$1005,$A387,'3 Nhật ký dừng máy'!$B$6:$B$1005,$B387,'3 Nhật ký dừng máy'!$C$6:$C$1005,$C387,'3 Nhật ký dừng máy'!$K$6:$K$1005,"Có kế hoạch"),"?"))</f>
        <v/>
      </c>
      <c r="Q387" s="28" t="str">
        <f>IF($C387="","",SUMIFS('3 Nhật ký dừng máy'!$I$6:$I$1005,'3 Nhật ký dừng máy'!$A$6:$A$1005,$A387,'3 Nhật ký dừng máy'!$B$6:$B$1005,$B387,'3 Nhật ký dừng máy'!$C$6:$C$1005,$C387,'3 Nhật ký dừng máy'!$K$6:$K$1005,"Ngoài kế hoạch"))</f>
        <v/>
      </c>
      <c r="R387" s="30" t="str">
        <f>IF($C387="","",COUNTIFS('3 Nhật ký dừng máy'!$A$6:$A$1005,$A387,'3 Nhật ký dừng máy'!$B$6:$B$1005,$B387,'3 Nhật ký dừng máy'!$C$6:$C$1005,$C387,'3 Nhật ký dừng máy'!$K$6:$K$1005,"Ngoài kế hoạch"))</f>
        <v/>
      </c>
      <c r="S387" s="31" t="str">
        <f t="shared" si="59"/>
        <v/>
      </c>
      <c r="T387" s="31" t="str">
        <f t="shared" si="60"/>
        <v/>
      </c>
      <c r="U387" s="31" t="str">
        <f t="shared" si="61"/>
        <v/>
      </c>
      <c r="V387" s="32" t="str">
        <f t="shared" si="62"/>
        <v/>
      </c>
      <c r="W387" s="30" t="str">
        <f t="shared" si="63"/>
        <v/>
      </c>
      <c r="X387" s="33" t="str">
        <f t="shared" si="64"/>
        <v/>
      </c>
      <c r="Y387" s="34" t="str">
        <f t="shared" si="65"/>
        <v/>
      </c>
    </row>
    <row r="388" spans="1:25" x14ac:dyDescent="0.2">
      <c r="A388" s="35"/>
      <c r="B388" s="21"/>
      <c r="C388" s="18"/>
      <c r="D388" s="21"/>
      <c r="E388" s="21"/>
      <c r="F388" s="21"/>
      <c r="G388" s="36"/>
      <c r="H388" s="36"/>
      <c r="I388" s="36"/>
      <c r="J388" s="37"/>
      <c r="K388" s="18"/>
      <c r="L388" s="28" t="str">
        <f t="shared" si="55"/>
        <v/>
      </c>
      <c r="M388" s="29" t="str">
        <f t="shared" si="56"/>
        <v/>
      </c>
      <c r="N388" s="29" t="str">
        <f t="shared" si="57"/>
        <v/>
      </c>
      <c r="O388" s="30" t="str">
        <f t="shared" si="58"/>
        <v/>
      </c>
      <c r="P388" s="28" t="str">
        <f>IF($C388="","",IFERROR(INDEX(CA_TG,MATCH(B388,DS_CA,0))-INDEX(CA_NGHI,MATCH(B388,DS_CA,0))-SUMIFS('3 Nhật ký dừng máy'!$I$6:$I$1005,'3 Nhật ký dừng máy'!$A$6:$A$1005,$A388,'3 Nhật ký dừng máy'!$B$6:$B$1005,$B388,'3 Nhật ký dừng máy'!$C$6:$C$1005,$C388,'3 Nhật ký dừng máy'!$K$6:$K$1005,"Có kế hoạch"),"?"))</f>
        <v/>
      </c>
      <c r="Q388" s="28" t="str">
        <f>IF($C388="","",SUMIFS('3 Nhật ký dừng máy'!$I$6:$I$1005,'3 Nhật ký dừng máy'!$A$6:$A$1005,$A388,'3 Nhật ký dừng máy'!$B$6:$B$1005,$B388,'3 Nhật ký dừng máy'!$C$6:$C$1005,$C388,'3 Nhật ký dừng máy'!$K$6:$K$1005,"Ngoài kế hoạch"))</f>
        <v/>
      </c>
      <c r="R388" s="30" t="str">
        <f>IF($C388="","",COUNTIFS('3 Nhật ký dừng máy'!$A$6:$A$1005,$A388,'3 Nhật ký dừng máy'!$B$6:$B$1005,$B388,'3 Nhật ký dừng máy'!$C$6:$C$1005,$C388,'3 Nhật ký dừng máy'!$K$6:$K$1005,"Ngoài kế hoạch"))</f>
        <v/>
      </c>
      <c r="S388" s="31" t="str">
        <f t="shared" si="59"/>
        <v/>
      </c>
      <c r="T388" s="31" t="str">
        <f t="shared" si="60"/>
        <v/>
      </c>
      <c r="U388" s="31" t="str">
        <f t="shared" si="61"/>
        <v/>
      </c>
      <c r="V388" s="32" t="str">
        <f t="shared" si="62"/>
        <v/>
      </c>
      <c r="W388" s="30" t="str">
        <f t="shared" si="63"/>
        <v/>
      </c>
      <c r="X388" s="33" t="str">
        <f t="shared" si="64"/>
        <v/>
      </c>
      <c r="Y388" s="34" t="str">
        <f t="shared" si="65"/>
        <v/>
      </c>
    </row>
    <row r="389" spans="1:25" x14ac:dyDescent="0.2">
      <c r="A389" s="35"/>
      <c r="B389" s="21"/>
      <c r="C389" s="18"/>
      <c r="D389" s="21"/>
      <c r="E389" s="21"/>
      <c r="F389" s="21"/>
      <c r="G389" s="36"/>
      <c r="H389" s="36"/>
      <c r="I389" s="36"/>
      <c r="J389" s="37"/>
      <c r="K389" s="18"/>
      <c r="L389" s="28" t="str">
        <f t="shared" si="55"/>
        <v/>
      </c>
      <c r="M389" s="29" t="str">
        <f t="shared" si="56"/>
        <v/>
      </c>
      <c r="N389" s="29" t="str">
        <f t="shared" si="57"/>
        <v/>
      </c>
      <c r="O389" s="30" t="str">
        <f t="shared" si="58"/>
        <v/>
      </c>
      <c r="P389" s="28" t="str">
        <f>IF($C389="","",IFERROR(INDEX(CA_TG,MATCH(B389,DS_CA,0))-INDEX(CA_NGHI,MATCH(B389,DS_CA,0))-SUMIFS('3 Nhật ký dừng máy'!$I$6:$I$1005,'3 Nhật ký dừng máy'!$A$6:$A$1005,$A389,'3 Nhật ký dừng máy'!$B$6:$B$1005,$B389,'3 Nhật ký dừng máy'!$C$6:$C$1005,$C389,'3 Nhật ký dừng máy'!$K$6:$K$1005,"Có kế hoạch"),"?"))</f>
        <v/>
      </c>
      <c r="Q389" s="28" t="str">
        <f>IF($C389="","",SUMIFS('3 Nhật ký dừng máy'!$I$6:$I$1005,'3 Nhật ký dừng máy'!$A$6:$A$1005,$A389,'3 Nhật ký dừng máy'!$B$6:$B$1005,$B389,'3 Nhật ký dừng máy'!$C$6:$C$1005,$C389,'3 Nhật ký dừng máy'!$K$6:$K$1005,"Ngoài kế hoạch"))</f>
        <v/>
      </c>
      <c r="R389" s="30" t="str">
        <f>IF($C389="","",COUNTIFS('3 Nhật ký dừng máy'!$A$6:$A$1005,$A389,'3 Nhật ký dừng máy'!$B$6:$B$1005,$B389,'3 Nhật ký dừng máy'!$C$6:$C$1005,$C389,'3 Nhật ký dừng máy'!$K$6:$K$1005,"Ngoài kế hoạch"))</f>
        <v/>
      </c>
      <c r="S389" s="31" t="str">
        <f t="shared" si="59"/>
        <v/>
      </c>
      <c r="T389" s="31" t="str">
        <f t="shared" si="60"/>
        <v/>
      </c>
      <c r="U389" s="31" t="str">
        <f t="shared" si="61"/>
        <v/>
      </c>
      <c r="V389" s="32" t="str">
        <f t="shared" si="62"/>
        <v/>
      </c>
      <c r="W389" s="30" t="str">
        <f t="shared" si="63"/>
        <v/>
      </c>
      <c r="X389" s="33" t="str">
        <f t="shared" si="64"/>
        <v/>
      </c>
      <c r="Y389" s="34" t="str">
        <f t="shared" si="65"/>
        <v/>
      </c>
    </row>
    <row r="390" spans="1:25" x14ac:dyDescent="0.2">
      <c r="A390" s="35"/>
      <c r="B390" s="21"/>
      <c r="C390" s="18"/>
      <c r="D390" s="21"/>
      <c r="E390" s="21"/>
      <c r="F390" s="21"/>
      <c r="G390" s="36"/>
      <c r="H390" s="36"/>
      <c r="I390" s="36"/>
      <c r="J390" s="37"/>
      <c r="K390" s="18"/>
      <c r="L390" s="28" t="str">
        <f t="shared" ref="L390:L453" si="66">IF($C390="","",H390-I390)</f>
        <v/>
      </c>
      <c r="M390" s="29" t="str">
        <f t="shared" ref="M390:M453" si="67">IF(OR($C390="",N(G390)&lt;=0),"",L390/G390)</f>
        <v/>
      </c>
      <c r="N390" s="29" t="str">
        <f t="shared" ref="N390:N453" si="68">IF(OR($C390="",N(H390)&lt;=0),"",I390/H390)</f>
        <v/>
      </c>
      <c r="O390" s="30" t="str">
        <f t="shared" ref="O390:O453" si="69">IF($C390="","",IFERROR(INDEX(MH_CT,MATCH(E390,DS_MH,0)),"?"))</f>
        <v/>
      </c>
      <c r="P390" s="28" t="str">
        <f>IF($C390="","",IFERROR(INDEX(CA_TG,MATCH(B390,DS_CA,0))-INDEX(CA_NGHI,MATCH(B390,DS_CA,0))-SUMIFS('3 Nhật ký dừng máy'!$I$6:$I$1005,'3 Nhật ký dừng máy'!$A$6:$A$1005,$A390,'3 Nhật ký dừng máy'!$B$6:$B$1005,$B390,'3 Nhật ký dừng máy'!$C$6:$C$1005,$C390,'3 Nhật ký dừng máy'!$K$6:$K$1005,"Có kế hoạch"),"?"))</f>
        <v/>
      </c>
      <c r="Q390" s="28" t="str">
        <f>IF($C390="","",SUMIFS('3 Nhật ký dừng máy'!$I$6:$I$1005,'3 Nhật ký dừng máy'!$A$6:$A$1005,$A390,'3 Nhật ký dừng máy'!$B$6:$B$1005,$B390,'3 Nhật ký dừng máy'!$C$6:$C$1005,$C390,'3 Nhật ký dừng máy'!$K$6:$K$1005,"Ngoài kế hoạch"))</f>
        <v/>
      </c>
      <c r="R390" s="30" t="str">
        <f>IF($C390="","",COUNTIFS('3 Nhật ký dừng máy'!$A$6:$A$1005,$A390,'3 Nhật ký dừng máy'!$B$6:$B$1005,$B390,'3 Nhật ký dừng máy'!$C$6:$C$1005,$C390,'3 Nhật ký dừng máy'!$K$6:$K$1005,"Ngoài kế hoạch"))</f>
        <v/>
      </c>
      <c r="S390" s="31" t="str">
        <f t="shared" ref="S390:S453" si="70">IF($C390="","",IFERROR(H390*O390/60,"?"))</f>
        <v/>
      </c>
      <c r="T390" s="31" t="str">
        <f t="shared" ref="T390:T453" si="71">IF($C390="","",IFERROR(P390-Q390-S390,"?"))</f>
        <v/>
      </c>
      <c r="U390" s="31" t="str">
        <f t="shared" ref="U390:U453" si="72">IF($C390="","",IFERROR(L390*O390/60,"?"))</f>
        <v/>
      </c>
      <c r="V390" s="32" t="str">
        <f t="shared" ref="V390:V453" si="73">IF($C390="","",IFERROR(U390/P390,"?"))</f>
        <v/>
      </c>
      <c r="W390" s="30" t="str">
        <f t="shared" ref="W390:W453" si="74">IF(OR($C390="",J390=""),"",INT(J390)-A390)</f>
        <v/>
      </c>
      <c r="X390" s="33" t="str">
        <f t="shared" ref="X390:X453" si="75">IF($C390="","",IFERROR(LEFT(IF(N(T390)&lt;0,"Nhanh hơn chu kỳ chuẩn — chuẩn đặt rộng?; ","")&amp;IF(D390="","Thiếu người đứng máy; ","")&amp;IF(R390=0,"Không ghi lần dừng nào; ","")&amp;IF(COUNTIF($Y$6:$Y$505,Y390)&gt;1,"Trùng dòng máy × ca; ",""),LEN(IF(N(T390)&lt;0,"Nhanh hơn chu kỳ chuẩn — chuẩn đặt rộng?; ","")&amp;IF(D390="","Thiếu người đứng máy; ","")&amp;IF(R390=0,"Không ghi lần dừng nào; ","")&amp;IF(COUNTIF($Y$6:$Y$505,Y390)&gt;1,"Trùng dòng máy × ca; ",""))-2),""))</f>
        <v/>
      </c>
      <c r="Y390" s="34" t="str">
        <f t="shared" ref="Y390:Y453" si="76">IF($C390="","",A390&amp;"|"&amp;B390&amp;"|"&amp;C390)</f>
        <v/>
      </c>
    </row>
    <row r="391" spans="1:25" x14ac:dyDescent="0.2">
      <c r="A391" s="35"/>
      <c r="B391" s="21"/>
      <c r="C391" s="18"/>
      <c r="D391" s="21"/>
      <c r="E391" s="21"/>
      <c r="F391" s="21"/>
      <c r="G391" s="36"/>
      <c r="H391" s="36"/>
      <c r="I391" s="36"/>
      <c r="J391" s="37"/>
      <c r="K391" s="18"/>
      <c r="L391" s="28" t="str">
        <f t="shared" si="66"/>
        <v/>
      </c>
      <c r="M391" s="29" t="str">
        <f t="shared" si="67"/>
        <v/>
      </c>
      <c r="N391" s="29" t="str">
        <f t="shared" si="68"/>
        <v/>
      </c>
      <c r="O391" s="30" t="str">
        <f t="shared" si="69"/>
        <v/>
      </c>
      <c r="P391" s="28" t="str">
        <f>IF($C391="","",IFERROR(INDEX(CA_TG,MATCH(B391,DS_CA,0))-INDEX(CA_NGHI,MATCH(B391,DS_CA,0))-SUMIFS('3 Nhật ký dừng máy'!$I$6:$I$1005,'3 Nhật ký dừng máy'!$A$6:$A$1005,$A391,'3 Nhật ký dừng máy'!$B$6:$B$1005,$B391,'3 Nhật ký dừng máy'!$C$6:$C$1005,$C391,'3 Nhật ký dừng máy'!$K$6:$K$1005,"Có kế hoạch"),"?"))</f>
        <v/>
      </c>
      <c r="Q391" s="28" t="str">
        <f>IF($C391="","",SUMIFS('3 Nhật ký dừng máy'!$I$6:$I$1005,'3 Nhật ký dừng máy'!$A$6:$A$1005,$A391,'3 Nhật ký dừng máy'!$B$6:$B$1005,$B391,'3 Nhật ký dừng máy'!$C$6:$C$1005,$C391,'3 Nhật ký dừng máy'!$K$6:$K$1005,"Ngoài kế hoạch"))</f>
        <v/>
      </c>
      <c r="R391" s="30" t="str">
        <f>IF($C391="","",COUNTIFS('3 Nhật ký dừng máy'!$A$6:$A$1005,$A391,'3 Nhật ký dừng máy'!$B$6:$B$1005,$B391,'3 Nhật ký dừng máy'!$C$6:$C$1005,$C391,'3 Nhật ký dừng máy'!$K$6:$K$1005,"Ngoài kế hoạch"))</f>
        <v/>
      </c>
      <c r="S391" s="31" t="str">
        <f t="shared" si="70"/>
        <v/>
      </c>
      <c r="T391" s="31" t="str">
        <f t="shared" si="71"/>
        <v/>
      </c>
      <c r="U391" s="31" t="str">
        <f t="shared" si="72"/>
        <v/>
      </c>
      <c r="V391" s="32" t="str">
        <f t="shared" si="73"/>
        <v/>
      </c>
      <c r="W391" s="30" t="str">
        <f t="shared" si="74"/>
        <v/>
      </c>
      <c r="X391" s="33" t="str">
        <f t="shared" si="75"/>
        <v/>
      </c>
      <c r="Y391" s="34" t="str">
        <f t="shared" si="76"/>
        <v/>
      </c>
    </row>
    <row r="392" spans="1:25" x14ac:dyDescent="0.2">
      <c r="A392" s="35"/>
      <c r="B392" s="21"/>
      <c r="C392" s="18"/>
      <c r="D392" s="21"/>
      <c r="E392" s="21"/>
      <c r="F392" s="21"/>
      <c r="G392" s="36"/>
      <c r="H392" s="36"/>
      <c r="I392" s="36"/>
      <c r="J392" s="37"/>
      <c r="K392" s="18"/>
      <c r="L392" s="28" t="str">
        <f t="shared" si="66"/>
        <v/>
      </c>
      <c r="M392" s="29" t="str">
        <f t="shared" si="67"/>
        <v/>
      </c>
      <c r="N392" s="29" t="str">
        <f t="shared" si="68"/>
        <v/>
      </c>
      <c r="O392" s="30" t="str">
        <f t="shared" si="69"/>
        <v/>
      </c>
      <c r="P392" s="28" t="str">
        <f>IF($C392="","",IFERROR(INDEX(CA_TG,MATCH(B392,DS_CA,0))-INDEX(CA_NGHI,MATCH(B392,DS_CA,0))-SUMIFS('3 Nhật ký dừng máy'!$I$6:$I$1005,'3 Nhật ký dừng máy'!$A$6:$A$1005,$A392,'3 Nhật ký dừng máy'!$B$6:$B$1005,$B392,'3 Nhật ký dừng máy'!$C$6:$C$1005,$C392,'3 Nhật ký dừng máy'!$K$6:$K$1005,"Có kế hoạch"),"?"))</f>
        <v/>
      </c>
      <c r="Q392" s="28" t="str">
        <f>IF($C392="","",SUMIFS('3 Nhật ký dừng máy'!$I$6:$I$1005,'3 Nhật ký dừng máy'!$A$6:$A$1005,$A392,'3 Nhật ký dừng máy'!$B$6:$B$1005,$B392,'3 Nhật ký dừng máy'!$C$6:$C$1005,$C392,'3 Nhật ký dừng máy'!$K$6:$K$1005,"Ngoài kế hoạch"))</f>
        <v/>
      </c>
      <c r="R392" s="30" t="str">
        <f>IF($C392="","",COUNTIFS('3 Nhật ký dừng máy'!$A$6:$A$1005,$A392,'3 Nhật ký dừng máy'!$B$6:$B$1005,$B392,'3 Nhật ký dừng máy'!$C$6:$C$1005,$C392,'3 Nhật ký dừng máy'!$K$6:$K$1005,"Ngoài kế hoạch"))</f>
        <v/>
      </c>
      <c r="S392" s="31" t="str">
        <f t="shared" si="70"/>
        <v/>
      </c>
      <c r="T392" s="31" t="str">
        <f t="shared" si="71"/>
        <v/>
      </c>
      <c r="U392" s="31" t="str">
        <f t="shared" si="72"/>
        <v/>
      </c>
      <c r="V392" s="32" t="str">
        <f t="shared" si="73"/>
        <v/>
      </c>
      <c r="W392" s="30" t="str">
        <f t="shared" si="74"/>
        <v/>
      </c>
      <c r="X392" s="33" t="str">
        <f t="shared" si="75"/>
        <v/>
      </c>
      <c r="Y392" s="34" t="str">
        <f t="shared" si="76"/>
        <v/>
      </c>
    </row>
    <row r="393" spans="1:25" x14ac:dyDescent="0.2">
      <c r="A393" s="35"/>
      <c r="B393" s="21"/>
      <c r="C393" s="18"/>
      <c r="D393" s="21"/>
      <c r="E393" s="21"/>
      <c r="F393" s="21"/>
      <c r="G393" s="36"/>
      <c r="H393" s="36"/>
      <c r="I393" s="36"/>
      <c r="J393" s="37"/>
      <c r="K393" s="18"/>
      <c r="L393" s="28" t="str">
        <f t="shared" si="66"/>
        <v/>
      </c>
      <c r="M393" s="29" t="str">
        <f t="shared" si="67"/>
        <v/>
      </c>
      <c r="N393" s="29" t="str">
        <f t="shared" si="68"/>
        <v/>
      </c>
      <c r="O393" s="30" t="str">
        <f t="shared" si="69"/>
        <v/>
      </c>
      <c r="P393" s="28" t="str">
        <f>IF($C393="","",IFERROR(INDEX(CA_TG,MATCH(B393,DS_CA,0))-INDEX(CA_NGHI,MATCH(B393,DS_CA,0))-SUMIFS('3 Nhật ký dừng máy'!$I$6:$I$1005,'3 Nhật ký dừng máy'!$A$6:$A$1005,$A393,'3 Nhật ký dừng máy'!$B$6:$B$1005,$B393,'3 Nhật ký dừng máy'!$C$6:$C$1005,$C393,'3 Nhật ký dừng máy'!$K$6:$K$1005,"Có kế hoạch"),"?"))</f>
        <v/>
      </c>
      <c r="Q393" s="28" t="str">
        <f>IF($C393="","",SUMIFS('3 Nhật ký dừng máy'!$I$6:$I$1005,'3 Nhật ký dừng máy'!$A$6:$A$1005,$A393,'3 Nhật ký dừng máy'!$B$6:$B$1005,$B393,'3 Nhật ký dừng máy'!$C$6:$C$1005,$C393,'3 Nhật ký dừng máy'!$K$6:$K$1005,"Ngoài kế hoạch"))</f>
        <v/>
      </c>
      <c r="R393" s="30" t="str">
        <f>IF($C393="","",COUNTIFS('3 Nhật ký dừng máy'!$A$6:$A$1005,$A393,'3 Nhật ký dừng máy'!$B$6:$B$1005,$B393,'3 Nhật ký dừng máy'!$C$6:$C$1005,$C393,'3 Nhật ký dừng máy'!$K$6:$K$1005,"Ngoài kế hoạch"))</f>
        <v/>
      </c>
      <c r="S393" s="31" t="str">
        <f t="shared" si="70"/>
        <v/>
      </c>
      <c r="T393" s="31" t="str">
        <f t="shared" si="71"/>
        <v/>
      </c>
      <c r="U393" s="31" t="str">
        <f t="shared" si="72"/>
        <v/>
      </c>
      <c r="V393" s="32" t="str">
        <f t="shared" si="73"/>
        <v/>
      </c>
      <c r="W393" s="30" t="str">
        <f t="shared" si="74"/>
        <v/>
      </c>
      <c r="X393" s="33" t="str">
        <f t="shared" si="75"/>
        <v/>
      </c>
      <c r="Y393" s="34" t="str">
        <f t="shared" si="76"/>
        <v/>
      </c>
    </row>
    <row r="394" spans="1:25" x14ac:dyDescent="0.2">
      <c r="A394" s="35"/>
      <c r="B394" s="21"/>
      <c r="C394" s="18"/>
      <c r="D394" s="21"/>
      <c r="E394" s="21"/>
      <c r="F394" s="21"/>
      <c r="G394" s="36"/>
      <c r="H394" s="36"/>
      <c r="I394" s="36"/>
      <c r="J394" s="37"/>
      <c r="K394" s="18"/>
      <c r="L394" s="28" t="str">
        <f t="shared" si="66"/>
        <v/>
      </c>
      <c r="M394" s="29" t="str">
        <f t="shared" si="67"/>
        <v/>
      </c>
      <c r="N394" s="29" t="str">
        <f t="shared" si="68"/>
        <v/>
      </c>
      <c r="O394" s="30" t="str">
        <f t="shared" si="69"/>
        <v/>
      </c>
      <c r="P394" s="28" t="str">
        <f>IF($C394="","",IFERROR(INDEX(CA_TG,MATCH(B394,DS_CA,0))-INDEX(CA_NGHI,MATCH(B394,DS_CA,0))-SUMIFS('3 Nhật ký dừng máy'!$I$6:$I$1005,'3 Nhật ký dừng máy'!$A$6:$A$1005,$A394,'3 Nhật ký dừng máy'!$B$6:$B$1005,$B394,'3 Nhật ký dừng máy'!$C$6:$C$1005,$C394,'3 Nhật ký dừng máy'!$K$6:$K$1005,"Có kế hoạch"),"?"))</f>
        <v/>
      </c>
      <c r="Q394" s="28" t="str">
        <f>IF($C394="","",SUMIFS('3 Nhật ký dừng máy'!$I$6:$I$1005,'3 Nhật ký dừng máy'!$A$6:$A$1005,$A394,'3 Nhật ký dừng máy'!$B$6:$B$1005,$B394,'3 Nhật ký dừng máy'!$C$6:$C$1005,$C394,'3 Nhật ký dừng máy'!$K$6:$K$1005,"Ngoài kế hoạch"))</f>
        <v/>
      </c>
      <c r="R394" s="30" t="str">
        <f>IF($C394="","",COUNTIFS('3 Nhật ký dừng máy'!$A$6:$A$1005,$A394,'3 Nhật ký dừng máy'!$B$6:$B$1005,$B394,'3 Nhật ký dừng máy'!$C$6:$C$1005,$C394,'3 Nhật ký dừng máy'!$K$6:$K$1005,"Ngoài kế hoạch"))</f>
        <v/>
      </c>
      <c r="S394" s="31" t="str">
        <f t="shared" si="70"/>
        <v/>
      </c>
      <c r="T394" s="31" t="str">
        <f t="shared" si="71"/>
        <v/>
      </c>
      <c r="U394" s="31" t="str">
        <f t="shared" si="72"/>
        <v/>
      </c>
      <c r="V394" s="32" t="str">
        <f t="shared" si="73"/>
        <v/>
      </c>
      <c r="W394" s="30" t="str">
        <f t="shared" si="74"/>
        <v/>
      </c>
      <c r="X394" s="33" t="str">
        <f t="shared" si="75"/>
        <v/>
      </c>
      <c r="Y394" s="34" t="str">
        <f t="shared" si="76"/>
        <v/>
      </c>
    </row>
    <row r="395" spans="1:25" x14ac:dyDescent="0.2">
      <c r="A395" s="35"/>
      <c r="B395" s="21"/>
      <c r="C395" s="18"/>
      <c r="D395" s="21"/>
      <c r="E395" s="21"/>
      <c r="F395" s="21"/>
      <c r="G395" s="36"/>
      <c r="H395" s="36"/>
      <c r="I395" s="36"/>
      <c r="J395" s="37"/>
      <c r="K395" s="18"/>
      <c r="L395" s="28" t="str">
        <f t="shared" si="66"/>
        <v/>
      </c>
      <c r="M395" s="29" t="str">
        <f t="shared" si="67"/>
        <v/>
      </c>
      <c r="N395" s="29" t="str">
        <f t="shared" si="68"/>
        <v/>
      </c>
      <c r="O395" s="30" t="str">
        <f t="shared" si="69"/>
        <v/>
      </c>
      <c r="P395" s="28" t="str">
        <f>IF($C395="","",IFERROR(INDEX(CA_TG,MATCH(B395,DS_CA,0))-INDEX(CA_NGHI,MATCH(B395,DS_CA,0))-SUMIFS('3 Nhật ký dừng máy'!$I$6:$I$1005,'3 Nhật ký dừng máy'!$A$6:$A$1005,$A395,'3 Nhật ký dừng máy'!$B$6:$B$1005,$B395,'3 Nhật ký dừng máy'!$C$6:$C$1005,$C395,'3 Nhật ký dừng máy'!$K$6:$K$1005,"Có kế hoạch"),"?"))</f>
        <v/>
      </c>
      <c r="Q395" s="28" t="str">
        <f>IF($C395="","",SUMIFS('3 Nhật ký dừng máy'!$I$6:$I$1005,'3 Nhật ký dừng máy'!$A$6:$A$1005,$A395,'3 Nhật ký dừng máy'!$B$6:$B$1005,$B395,'3 Nhật ký dừng máy'!$C$6:$C$1005,$C395,'3 Nhật ký dừng máy'!$K$6:$K$1005,"Ngoài kế hoạch"))</f>
        <v/>
      </c>
      <c r="R395" s="30" t="str">
        <f>IF($C395="","",COUNTIFS('3 Nhật ký dừng máy'!$A$6:$A$1005,$A395,'3 Nhật ký dừng máy'!$B$6:$B$1005,$B395,'3 Nhật ký dừng máy'!$C$6:$C$1005,$C395,'3 Nhật ký dừng máy'!$K$6:$K$1005,"Ngoài kế hoạch"))</f>
        <v/>
      </c>
      <c r="S395" s="31" t="str">
        <f t="shared" si="70"/>
        <v/>
      </c>
      <c r="T395" s="31" t="str">
        <f t="shared" si="71"/>
        <v/>
      </c>
      <c r="U395" s="31" t="str">
        <f t="shared" si="72"/>
        <v/>
      </c>
      <c r="V395" s="32" t="str">
        <f t="shared" si="73"/>
        <v/>
      </c>
      <c r="W395" s="30" t="str">
        <f t="shared" si="74"/>
        <v/>
      </c>
      <c r="X395" s="33" t="str">
        <f t="shared" si="75"/>
        <v/>
      </c>
      <c r="Y395" s="34" t="str">
        <f t="shared" si="76"/>
        <v/>
      </c>
    </row>
    <row r="396" spans="1:25" x14ac:dyDescent="0.2">
      <c r="A396" s="35"/>
      <c r="B396" s="21"/>
      <c r="C396" s="18"/>
      <c r="D396" s="21"/>
      <c r="E396" s="21"/>
      <c r="F396" s="21"/>
      <c r="G396" s="36"/>
      <c r="H396" s="36"/>
      <c r="I396" s="36"/>
      <c r="J396" s="37"/>
      <c r="K396" s="18"/>
      <c r="L396" s="28" t="str">
        <f t="shared" si="66"/>
        <v/>
      </c>
      <c r="M396" s="29" t="str">
        <f t="shared" si="67"/>
        <v/>
      </c>
      <c r="N396" s="29" t="str">
        <f t="shared" si="68"/>
        <v/>
      </c>
      <c r="O396" s="30" t="str">
        <f t="shared" si="69"/>
        <v/>
      </c>
      <c r="P396" s="28" t="str">
        <f>IF($C396="","",IFERROR(INDEX(CA_TG,MATCH(B396,DS_CA,0))-INDEX(CA_NGHI,MATCH(B396,DS_CA,0))-SUMIFS('3 Nhật ký dừng máy'!$I$6:$I$1005,'3 Nhật ký dừng máy'!$A$6:$A$1005,$A396,'3 Nhật ký dừng máy'!$B$6:$B$1005,$B396,'3 Nhật ký dừng máy'!$C$6:$C$1005,$C396,'3 Nhật ký dừng máy'!$K$6:$K$1005,"Có kế hoạch"),"?"))</f>
        <v/>
      </c>
      <c r="Q396" s="28" t="str">
        <f>IF($C396="","",SUMIFS('3 Nhật ký dừng máy'!$I$6:$I$1005,'3 Nhật ký dừng máy'!$A$6:$A$1005,$A396,'3 Nhật ký dừng máy'!$B$6:$B$1005,$B396,'3 Nhật ký dừng máy'!$C$6:$C$1005,$C396,'3 Nhật ký dừng máy'!$K$6:$K$1005,"Ngoài kế hoạch"))</f>
        <v/>
      </c>
      <c r="R396" s="30" t="str">
        <f>IF($C396="","",COUNTIFS('3 Nhật ký dừng máy'!$A$6:$A$1005,$A396,'3 Nhật ký dừng máy'!$B$6:$B$1005,$B396,'3 Nhật ký dừng máy'!$C$6:$C$1005,$C396,'3 Nhật ký dừng máy'!$K$6:$K$1005,"Ngoài kế hoạch"))</f>
        <v/>
      </c>
      <c r="S396" s="31" t="str">
        <f t="shared" si="70"/>
        <v/>
      </c>
      <c r="T396" s="31" t="str">
        <f t="shared" si="71"/>
        <v/>
      </c>
      <c r="U396" s="31" t="str">
        <f t="shared" si="72"/>
        <v/>
      </c>
      <c r="V396" s="32" t="str">
        <f t="shared" si="73"/>
        <v/>
      </c>
      <c r="W396" s="30" t="str">
        <f t="shared" si="74"/>
        <v/>
      </c>
      <c r="X396" s="33" t="str">
        <f t="shared" si="75"/>
        <v/>
      </c>
      <c r="Y396" s="34" t="str">
        <f t="shared" si="76"/>
        <v/>
      </c>
    </row>
    <row r="397" spans="1:25" x14ac:dyDescent="0.2">
      <c r="A397" s="35"/>
      <c r="B397" s="21"/>
      <c r="C397" s="18"/>
      <c r="D397" s="21"/>
      <c r="E397" s="21"/>
      <c r="F397" s="21"/>
      <c r="G397" s="36"/>
      <c r="H397" s="36"/>
      <c r="I397" s="36"/>
      <c r="J397" s="37"/>
      <c r="K397" s="18"/>
      <c r="L397" s="28" t="str">
        <f t="shared" si="66"/>
        <v/>
      </c>
      <c r="M397" s="29" t="str">
        <f t="shared" si="67"/>
        <v/>
      </c>
      <c r="N397" s="29" t="str">
        <f t="shared" si="68"/>
        <v/>
      </c>
      <c r="O397" s="30" t="str">
        <f t="shared" si="69"/>
        <v/>
      </c>
      <c r="P397" s="28" t="str">
        <f>IF($C397="","",IFERROR(INDEX(CA_TG,MATCH(B397,DS_CA,0))-INDEX(CA_NGHI,MATCH(B397,DS_CA,0))-SUMIFS('3 Nhật ký dừng máy'!$I$6:$I$1005,'3 Nhật ký dừng máy'!$A$6:$A$1005,$A397,'3 Nhật ký dừng máy'!$B$6:$B$1005,$B397,'3 Nhật ký dừng máy'!$C$6:$C$1005,$C397,'3 Nhật ký dừng máy'!$K$6:$K$1005,"Có kế hoạch"),"?"))</f>
        <v/>
      </c>
      <c r="Q397" s="28" t="str">
        <f>IF($C397="","",SUMIFS('3 Nhật ký dừng máy'!$I$6:$I$1005,'3 Nhật ký dừng máy'!$A$6:$A$1005,$A397,'3 Nhật ký dừng máy'!$B$6:$B$1005,$B397,'3 Nhật ký dừng máy'!$C$6:$C$1005,$C397,'3 Nhật ký dừng máy'!$K$6:$K$1005,"Ngoài kế hoạch"))</f>
        <v/>
      </c>
      <c r="R397" s="30" t="str">
        <f>IF($C397="","",COUNTIFS('3 Nhật ký dừng máy'!$A$6:$A$1005,$A397,'3 Nhật ký dừng máy'!$B$6:$B$1005,$B397,'3 Nhật ký dừng máy'!$C$6:$C$1005,$C397,'3 Nhật ký dừng máy'!$K$6:$K$1005,"Ngoài kế hoạch"))</f>
        <v/>
      </c>
      <c r="S397" s="31" t="str">
        <f t="shared" si="70"/>
        <v/>
      </c>
      <c r="T397" s="31" t="str">
        <f t="shared" si="71"/>
        <v/>
      </c>
      <c r="U397" s="31" t="str">
        <f t="shared" si="72"/>
        <v/>
      </c>
      <c r="V397" s="32" t="str">
        <f t="shared" si="73"/>
        <v/>
      </c>
      <c r="W397" s="30" t="str">
        <f t="shared" si="74"/>
        <v/>
      </c>
      <c r="X397" s="33" t="str">
        <f t="shared" si="75"/>
        <v/>
      </c>
      <c r="Y397" s="34" t="str">
        <f t="shared" si="76"/>
        <v/>
      </c>
    </row>
    <row r="398" spans="1:25" x14ac:dyDescent="0.2">
      <c r="A398" s="35"/>
      <c r="B398" s="21"/>
      <c r="C398" s="18"/>
      <c r="D398" s="21"/>
      <c r="E398" s="21"/>
      <c r="F398" s="21"/>
      <c r="G398" s="36"/>
      <c r="H398" s="36"/>
      <c r="I398" s="36"/>
      <c r="J398" s="37"/>
      <c r="K398" s="18"/>
      <c r="L398" s="28" t="str">
        <f t="shared" si="66"/>
        <v/>
      </c>
      <c r="M398" s="29" t="str">
        <f t="shared" si="67"/>
        <v/>
      </c>
      <c r="N398" s="29" t="str">
        <f t="shared" si="68"/>
        <v/>
      </c>
      <c r="O398" s="30" t="str">
        <f t="shared" si="69"/>
        <v/>
      </c>
      <c r="P398" s="28" t="str">
        <f>IF($C398="","",IFERROR(INDEX(CA_TG,MATCH(B398,DS_CA,0))-INDEX(CA_NGHI,MATCH(B398,DS_CA,0))-SUMIFS('3 Nhật ký dừng máy'!$I$6:$I$1005,'3 Nhật ký dừng máy'!$A$6:$A$1005,$A398,'3 Nhật ký dừng máy'!$B$6:$B$1005,$B398,'3 Nhật ký dừng máy'!$C$6:$C$1005,$C398,'3 Nhật ký dừng máy'!$K$6:$K$1005,"Có kế hoạch"),"?"))</f>
        <v/>
      </c>
      <c r="Q398" s="28" t="str">
        <f>IF($C398="","",SUMIFS('3 Nhật ký dừng máy'!$I$6:$I$1005,'3 Nhật ký dừng máy'!$A$6:$A$1005,$A398,'3 Nhật ký dừng máy'!$B$6:$B$1005,$B398,'3 Nhật ký dừng máy'!$C$6:$C$1005,$C398,'3 Nhật ký dừng máy'!$K$6:$K$1005,"Ngoài kế hoạch"))</f>
        <v/>
      </c>
      <c r="R398" s="30" t="str">
        <f>IF($C398="","",COUNTIFS('3 Nhật ký dừng máy'!$A$6:$A$1005,$A398,'3 Nhật ký dừng máy'!$B$6:$B$1005,$B398,'3 Nhật ký dừng máy'!$C$6:$C$1005,$C398,'3 Nhật ký dừng máy'!$K$6:$K$1005,"Ngoài kế hoạch"))</f>
        <v/>
      </c>
      <c r="S398" s="31" t="str">
        <f t="shared" si="70"/>
        <v/>
      </c>
      <c r="T398" s="31" t="str">
        <f t="shared" si="71"/>
        <v/>
      </c>
      <c r="U398" s="31" t="str">
        <f t="shared" si="72"/>
        <v/>
      </c>
      <c r="V398" s="32" t="str">
        <f t="shared" si="73"/>
        <v/>
      </c>
      <c r="W398" s="30" t="str">
        <f t="shared" si="74"/>
        <v/>
      </c>
      <c r="X398" s="33" t="str">
        <f t="shared" si="75"/>
        <v/>
      </c>
      <c r="Y398" s="34" t="str">
        <f t="shared" si="76"/>
        <v/>
      </c>
    </row>
    <row r="399" spans="1:25" x14ac:dyDescent="0.2">
      <c r="A399" s="35"/>
      <c r="B399" s="21"/>
      <c r="C399" s="18"/>
      <c r="D399" s="21"/>
      <c r="E399" s="21"/>
      <c r="F399" s="21"/>
      <c r="G399" s="36"/>
      <c r="H399" s="36"/>
      <c r="I399" s="36"/>
      <c r="J399" s="37"/>
      <c r="K399" s="18"/>
      <c r="L399" s="28" t="str">
        <f t="shared" si="66"/>
        <v/>
      </c>
      <c r="M399" s="29" t="str">
        <f t="shared" si="67"/>
        <v/>
      </c>
      <c r="N399" s="29" t="str">
        <f t="shared" si="68"/>
        <v/>
      </c>
      <c r="O399" s="30" t="str">
        <f t="shared" si="69"/>
        <v/>
      </c>
      <c r="P399" s="28" t="str">
        <f>IF($C399="","",IFERROR(INDEX(CA_TG,MATCH(B399,DS_CA,0))-INDEX(CA_NGHI,MATCH(B399,DS_CA,0))-SUMIFS('3 Nhật ký dừng máy'!$I$6:$I$1005,'3 Nhật ký dừng máy'!$A$6:$A$1005,$A399,'3 Nhật ký dừng máy'!$B$6:$B$1005,$B399,'3 Nhật ký dừng máy'!$C$6:$C$1005,$C399,'3 Nhật ký dừng máy'!$K$6:$K$1005,"Có kế hoạch"),"?"))</f>
        <v/>
      </c>
      <c r="Q399" s="28" t="str">
        <f>IF($C399="","",SUMIFS('3 Nhật ký dừng máy'!$I$6:$I$1005,'3 Nhật ký dừng máy'!$A$6:$A$1005,$A399,'3 Nhật ký dừng máy'!$B$6:$B$1005,$B399,'3 Nhật ký dừng máy'!$C$6:$C$1005,$C399,'3 Nhật ký dừng máy'!$K$6:$K$1005,"Ngoài kế hoạch"))</f>
        <v/>
      </c>
      <c r="R399" s="30" t="str">
        <f>IF($C399="","",COUNTIFS('3 Nhật ký dừng máy'!$A$6:$A$1005,$A399,'3 Nhật ký dừng máy'!$B$6:$B$1005,$B399,'3 Nhật ký dừng máy'!$C$6:$C$1005,$C399,'3 Nhật ký dừng máy'!$K$6:$K$1005,"Ngoài kế hoạch"))</f>
        <v/>
      </c>
      <c r="S399" s="31" t="str">
        <f t="shared" si="70"/>
        <v/>
      </c>
      <c r="T399" s="31" t="str">
        <f t="shared" si="71"/>
        <v/>
      </c>
      <c r="U399" s="31" t="str">
        <f t="shared" si="72"/>
        <v/>
      </c>
      <c r="V399" s="32" t="str">
        <f t="shared" si="73"/>
        <v/>
      </c>
      <c r="W399" s="30" t="str">
        <f t="shared" si="74"/>
        <v/>
      </c>
      <c r="X399" s="33" t="str">
        <f t="shared" si="75"/>
        <v/>
      </c>
      <c r="Y399" s="34" t="str">
        <f t="shared" si="76"/>
        <v/>
      </c>
    </row>
    <row r="400" spans="1:25" x14ac:dyDescent="0.2">
      <c r="A400" s="35"/>
      <c r="B400" s="21"/>
      <c r="C400" s="18"/>
      <c r="D400" s="21"/>
      <c r="E400" s="21"/>
      <c r="F400" s="21"/>
      <c r="G400" s="36"/>
      <c r="H400" s="36"/>
      <c r="I400" s="36"/>
      <c r="J400" s="37"/>
      <c r="K400" s="18"/>
      <c r="L400" s="28" t="str">
        <f t="shared" si="66"/>
        <v/>
      </c>
      <c r="M400" s="29" t="str">
        <f t="shared" si="67"/>
        <v/>
      </c>
      <c r="N400" s="29" t="str">
        <f t="shared" si="68"/>
        <v/>
      </c>
      <c r="O400" s="30" t="str">
        <f t="shared" si="69"/>
        <v/>
      </c>
      <c r="P400" s="28" t="str">
        <f>IF($C400="","",IFERROR(INDEX(CA_TG,MATCH(B400,DS_CA,0))-INDEX(CA_NGHI,MATCH(B400,DS_CA,0))-SUMIFS('3 Nhật ký dừng máy'!$I$6:$I$1005,'3 Nhật ký dừng máy'!$A$6:$A$1005,$A400,'3 Nhật ký dừng máy'!$B$6:$B$1005,$B400,'3 Nhật ký dừng máy'!$C$6:$C$1005,$C400,'3 Nhật ký dừng máy'!$K$6:$K$1005,"Có kế hoạch"),"?"))</f>
        <v/>
      </c>
      <c r="Q400" s="28" t="str">
        <f>IF($C400="","",SUMIFS('3 Nhật ký dừng máy'!$I$6:$I$1005,'3 Nhật ký dừng máy'!$A$6:$A$1005,$A400,'3 Nhật ký dừng máy'!$B$6:$B$1005,$B400,'3 Nhật ký dừng máy'!$C$6:$C$1005,$C400,'3 Nhật ký dừng máy'!$K$6:$K$1005,"Ngoài kế hoạch"))</f>
        <v/>
      </c>
      <c r="R400" s="30" t="str">
        <f>IF($C400="","",COUNTIFS('3 Nhật ký dừng máy'!$A$6:$A$1005,$A400,'3 Nhật ký dừng máy'!$B$6:$B$1005,$B400,'3 Nhật ký dừng máy'!$C$6:$C$1005,$C400,'3 Nhật ký dừng máy'!$K$6:$K$1005,"Ngoài kế hoạch"))</f>
        <v/>
      </c>
      <c r="S400" s="31" t="str">
        <f t="shared" si="70"/>
        <v/>
      </c>
      <c r="T400" s="31" t="str">
        <f t="shared" si="71"/>
        <v/>
      </c>
      <c r="U400" s="31" t="str">
        <f t="shared" si="72"/>
        <v/>
      </c>
      <c r="V400" s="32" t="str">
        <f t="shared" si="73"/>
        <v/>
      </c>
      <c r="W400" s="30" t="str">
        <f t="shared" si="74"/>
        <v/>
      </c>
      <c r="X400" s="33" t="str">
        <f t="shared" si="75"/>
        <v/>
      </c>
      <c r="Y400" s="34" t="str">
        <f t="shared" si="76"/>
        <v/>
      </c>
    </row>
    <row r="401" spans="1:25" x14ac:dyDescent="0.2">
      <c r="A401" s="35"/>
      <c r="B401" s="21"/>
      <c r="C401" s="18"/>
      <c r="D401" s="21"/>
      <c r="E401" s="21"/>
      <c r="F401" s="21"/>
      <c r="G401" s="36"/>
      <c r="H401" s="36"/>
      <c r="I401" s="36"/>
      <c r="J401" s="37"/>
      <c r="K401" s="18"/>
      <c r="L401" s="28" t="str">
        <f t="shared" si="66"/>
        <v/>
      </c>
      <c r="M401" s="29" t="str">
        <f t="shared" si="67"/>
        <v/>
      </c>
      <c r="N401" s="29" t="str">
        <f t="shared" si="68"/>
        <v/>
      </c>
      <c r="O401" s="30" t="str">
        <f t="shared" si="69"/>
        <v/>
      </c>
      <c r="P401" s="28" t="str">
        <f>IF($C401="","",IFERROR(INDEX(CA_TG,MATCH(B401,DS_CA,0))-INDEX(CA_NGHI,MATCH(B401,DS_CA,0))-SUMIFS('3 Nhật ký dừng máy'!$I$6:$I$1005,'3 Nhật ký dừng máy'!$A$6:$A$1005,$A401,'3 Nhật ký dừng máy'!$B$6:$B$1005,$B401,'3 Nhật ký dừng máy'!$C$6:$C$1005,$C401,'3 Nhật ký dừng máy'!$K$6:$K$1005,"Có kế hoạch"),"?"))</f>
        <v/>
      </c>
      <c r="Q401" s="28" t="str">
        <f>IF($C401="","",SUMIFS('3 Nhật ký dừng máy'!$I$6:$I$1005,'3 Nhật ký dừng máy'!$A$6:$A$1005,$A401,'3 Nhật ký dừng máy'!$B$6:$B$1005,$B401,'3 Nhật ký dừng máy'!$C$6:$C$1005,$C401,'3 Nhật ký dừng máy'!$K$6:$K$1005,"Ngoài kế hoạch"))</f>
        <v/>
      </c>
      <c r="R401" s="30" t="str">
        <f>IF($C401="","",COUNTIFS('3 Nhật ký dừng máy'!$A$6:$A$1005,$A401,'3 Nhật ký dừng máy'!$B$6:$B$1005,$B401,'3 Nhật ký dừng máy'!$C$6:$C$1005,$C401,'3 Nhật ký dừng máy'!$K$6:$K$1005,"Ngoài kế hoạch"))</f>
        <v/>
      </c>
      <c r="S401" s="31" t="str">
        <f t="shared" si="70"/>
        <v/>
      </c>
      <c r="T401" s="31" t="str">
        <f t="shared" si="71"/>
        <v/>
      </c>
      <c r="U401" s="31" t="str">
        <f t="shared" si="72"/>
        <v/>
      </c>
      <c r="V401" s="32" t="str">
        <f t="shared" si="73"/>
        <v/>
      </c>
      <c r="W401" s="30" t="str">
        <f t="shared" si="74"/>
        <v/>
      </c>
      <c r="X401" s="33" t="str">
        <f t="shared" si="75"/>
        <v/>
      </c>
      <c r="Y401" s="34" t="str">
        <f t="shared" si="76"/>
        <v/>
      </c>
    </row>
    <row r="402" spans="1:25" x14ac:dyDescent="0.2">
      <c r="A402" s="35"/>
      <c r="B402" s="21"/>
      <c r="C402" s="18"/>
      <c r="D402" s="21"/>
      <c r="E402" s="21"/>
      <c r="F402" s="21"/>
      <c r="G402" s="36"/>
      <c r="H402" s="36"/>
      <c r="I402" s="36"/>
      <c r="J402" s="37"/>
      <c r="K402" s="18"/>
      <c r="L402" s="28" t="str">
        <f t="shared" si="66"/>
        <v/>
      </c>
      <c r="M402" s="29" t="str">
        <f t="shared" si="67"/>
        <v/>
      </c>
      <c r="N402" s="29" t="str">
        <f t="shared" si="68"/>
        <v/>
      </c>
      <c r="O402" s="30" t="str">
        <f t="shared" si="69"/>
        <v/>
      </c>
      <c r="P402" s="28" t="str">
        <f>IF($C402="","",IFERROR(INDEX(CA_TG,MATCH(B402,DS_CA,0))-INDEX(CA_NGHI,MATCH(B402,DS_CA,0))-SUMIFS('3 Nhật ký dừng máy'!$I$6:$I$1005,'3 Nhật ký dừng máy'!$A$6:$A$1005,$A402,'3 Nhật ký dừng máy'!$B$6:$B$1005,$B402,'3 Nhật ký dừng máy'!$C$6:$C$1005,$C402,'3 Nhật ký dừng máy'!$K$6:$K$1005,"Có kế hoạch"),"?"))</f>
        <v/>
      </c>
      <c r="Q402" s="28" t="str">
        <f>IF($C402="","",SUMIFS('3 Nhật ký dừng máy'!$I$6:$I$1005,'3 Nhật ký dừng máy'!$A$6:$A$1005,$A402,'3 Nhật ký dừng máy'!$B$6:$B$1005,$B402,'3 Nhật ký dừng máy'!$C$6:$C$1005,$C402,'3 Nhật ký dừng máy'!$K$6:$K$1005,"Ngoài kế hoạch"))</f>
        <v/>
      </c>
      <c r="R402" s="30" t="str">
        <f>IF($C402="","",COUNTIFS('3 Nhật ký dừng máy'!$A$6:$A$1005,$A402,'3 Nhật ký dừng máy'!$B$6:$B$1005,$B402,'3 Nhật ký dừng máy'!$C$6:$C$1005,$C402,'3 Nhật ký dừng máy'!$K$6:$K$1005,"Ngoài kế hoạch"))</f>
        <v/>
      </c>
      <c r="S402" s="31" t="str">
        <f t="shared" si="70"/>
        <v/>
      </c>
      <c r="T402" s="31" t="str">
        <f t="shared" si="71"/>
        <v/>
      </c>
      <c r="U402" s="31" t="str">
        <f t="shared" si="72"/>
        <v/>
      </c>
      <c r="V402" s="32" t="str">
        <f t="shared" si="73"/>
        <v/>
      </c>
      <c r="W402" s="30" t="str">
        <f t="shared" si="74"/>
        <v/>
      </c>
      <c r="X402" s="33" t="str">
        <f t="shared" si="75"/>
        <v/>
      </c>
      <c r="Y402" s="34" t="str">
        <f t="shared" si="76"/>
        <v/>
      </c>
    </row>
    <row r="403" spans="1:25" x14ac:dyDescent="0.2">
      <c r="A403" s="35"/>
      <c r="B403" s="21"/>
      <c r="C403" s="18"/>
      <c r="D403" s="21"/>
      <c r="E403" s="21"/>
      <c r="F403" s="21"/>
      <c r="G403" s="36"/>
      <c r="H403" s="36"/>
      <c r="I403" s="36"/>
      <c r="J403" s="37"/>
      <c r="K403" s="18"/>
      <c r="L403" s="28" t="str">
        <f t="shared" si="66"/>
        <v/>
      </c>
      <c r="M403" s="29" t="str">
        <f t="shared" si="67"/>
        <v/>
      </c>
      <c r="N403" s="29" t="str">
        <f t="shared" si="68"/>
        <v/>
      </c>
      <c r="O403" s="30" t="str">
        <f t="shared" si="69"/>
        <v/>
      </c>
      <c r="P403" s="28" t="str">
        <f>IF($C403="","",IFERROR(INDEX(CA_TG,MATCH(B403,DS_CA,0))-INDEX(CA_NGHI,MATCH(B403,DS_CA,0))-SUMIFS('3 Nhật ký dừng máy'!$I$6:$I$1005,'3 Nhật ký dừng máy'!$A$6:$A$1005,$A403,'3 Nhật ký dừng máy'!$B$6:$B$1005,$B403,'3 Nhật ký dừng máy'!$C$6:$C$1005,$C403,'3 Nhật ký dừng máy'!$K$6:$K$1005,"Có kế hoạch"),"?"))</f>
        <v/>
      </c>
      <c r="Q403" s="28" t="str">
        <f>IF($C403="","",SUMIFS('3 Nhật ký dừng máy'!$I$6:$I$1005,'3 Nhật ký dừng máy'!$A$6:$A$1005,$A403,'3 Nhật ký dừng máy'!$B$6:$B$1005,$B403,'3 Nhật ký dừng máy'!$C$6:$C$1005,$C403,'3 Nhật ký dừng máy'!$K$6:$K$1005,"Ngoài kế hoạch"))</f>
        <v/>
      </c>
      <c r="R403" s="30" t="str">
        <f>IF($C403="","",COUNTIFS('3 Nhật ký dừng máy'!$A$6:$A$1005,$A403,'3 Nhật ký dừng máy'!$B$6:$B$1005,$B403,'3 Nhật ký dừng máy'!$C$6:$C$1005,$C403,'3 Nhật ký dừng máy'!$K$6:$K$1005,"Ngoài kế hoạch"))</f>
        <v/>
      </c>
      <c r="S403" s="31" t="str">
        <f t="shared" si="70"/>
        <v/>
      </c>
      <c r="T403" s="31" t="str">
        <f t="shared" si="71"/>
        <v/>
      </c>
      <c r="U403" s="31" t="str">
        <f t="shared" si="72"/>
        <v/>
      </c>
      <c r="V403" s="32" t="str">
        <f t="shared" si="73"/>
        <v/>
      </c>
      <c r="W403" s="30" t="str">
        <f t="shared" si="74"/>
        <v/>
      </c>
      <c r="X403" s="33" t="str">
        <f t="shared" si="75"/>
        <v/>
      </c>
      <c r="Y403" s="34" t="str">
        <f t="shared" si="76"/>
        <v/>
      </c>
    </row>
    <row r="404" spans="1:25" x14ac:dyDescent="0.2">
      <c r="A404" s="35"/>
      <c r="B404" s="21"/>
      <c r="C404" s="18"/>
      <c r="D404" s="21"/>
      <c r="E404" s="21"/>
      <c r="F404" s="21"/>
      <c r="G404" s="36"/>
      <c r="H404" s="36"/>
      <c r="I404" s="36"/>
      <c r="J404" s="37"/>
      <c r="K404" s="18"/>
      <c r="L404" s="28" t="str">
        <f t="shared" si="66"/>
        <v/>
      </c>
      <c r="M404" s="29" t="str">
        <f t="shared" si="67"/>
        <v/>
      </c>
      <c r="N404" s="29" t="str">
        <f t="shared" si="68"/>
        <v/>
      </c>
      <c r="O404" s="30" t="str">
        <f t="shared" si="69"/>
        <v/>
      </c>
      <c r="P404" s="28" t="str">
        <f>IF($C404="","",IFERROR(INDEX(CA_TG,MATCH(B404,DS_CA,0))-INDEX(CA_NGHI,MATCH(B404,DS_CA,0))-SUMIFS('3 Nhật ký dừng máy'!$I$6:$I$1005,'3 Nhật ký dừng máy'!$A$6:$A$1005,$A404,'3 Nhật ký dừng máy'!$B$6:$B$1005,$B404,'3 Nhật ký dừng máy'!$C$6:$C$1005,$C404,'3 Nhật ký dừng máy'!$K$6:$K$1005,"Có kế hoạch"),"?"))</f>
        <v/>
      </c>
      <c r="Q404" s="28" t="str">
        <f>IF($C404="","",SUMIFS('3 Nhật ký dừng máy'!$I$6:$I$1005,'3 Nhật ký dừng máy'!$A$6:$A$1005,$A404,'3 Nhật ký dừng máy'!$B$6:$B$1005,$B404,'3 Nhật ký dừng máy'!$C$6:$C$1005,$C404,'3 Nhật ký dừng máy'!$K$6:$K$1005,"Ngoài kế hoạch"))</f>
        <v/>
      </c>
      <c r="R404" s="30" t="str">
        <f>IF($C404="","",COUNTIFS('3 Nhật ký dừng máy'!$A$6:$A$1005,$A404,'3 Nhật ký dừng máy'!$B$6:$B$1005,$B404,'3 Nhật ký dừng máy'!$C$6:$C$1005,$C404,'3 Nhật ký dừng máy'!$K$6:$K$1005,"Ngoài kế hoạch"))</f>
        <v/>
      </c>
      <c r="S404" s="31" t="str">
        <f t="shared" si="70"/>
        <v/>
      </c>
      <c r="T404" s="31" t="str">
        <f t="shared" si="71"/>
        <v/>
      </c>
      <c r="U404" s="31" t="str">
        <f t="shared" si="72"/>
        <v/>
      </c>
      <c r="V404" s="32" t="str">
        <f t="shared" si="73"/>
        <v/>
      </c>
      <c r="W404" s="30" t="str">
        <f t="shared" si="74"/>
        <v/>
      </c>
      <c r="X404" s="33" t="str">
        <f t="shared" si="75"/>
        <v/>
      </c>
      <c r="Y404" s="34" t="str">
        <f t="shared" si="76"/>
        <v/>
      </c>
    </row>
    <row r="405" spans="1:25" x14ac:dyDescent="0.2">
      <c r="A405" s="35"/>
      <c r="B405" s="21"/>
      <c r="C405" s="18"/>
      <c r="D405" s="21"/>
      <c r="E405" s="21"/>
      <c r="F405" s="21"/>
      <c r="G405" s="36"/>
      <c r="H405" s="36"/>
      <c r="I405" s="36"/>
      <c r="J405" s="37"/>
      <c r="K405" s="18"/>
      <c r="L405" s="28" t="str">
        <f t="shared" si="66"/>
        <v/>
      </c>
      <c r="M405" s="29" t="str">
        <f t="shared" si="67"/>
        <v/>
      </c>
      <c r="N405" s="29" t="str">
        <f t="shared" si="68"/>
        <v/>
      </c>
      <c r="O405" s="30" t="str">
        <f t="shared" si="69"/>
        <v/>
      </c>
      <c r="P405" s="28" t="str">
        <f>IF($C405="","",IFERROR(INDEX(CA_TG,MATCH(B405,DS_CA,0))-INDEX(CA_NGHI,MATCH(B405,DS_CA,0))-SUMIFS('3 Nhật ký dừng máy'!$I$6:$I$1005,'3 Nhật ký dừng máy'!$A$6:$A$1005,$A405,'3 Nhật ký dừng máy'!$B$6:$B$1005,$B405,'3 Nhật ký dừng máy'!$C$6:$C$1005,$C405,'3 Nhật ký dừng máy'!$K$6:$K$1005,"Có kế hoạch"),"?"))</f>
        <v/>
      </c>
      <c r="Q405" s="28" t="str">
        <f>IF($C405="","",SUMIFS('3 Nhật ký dừng máy'!$I$6:$I$1005,'3 Nhật ký dừng máy'!$A$6:$A$1005,$A405,'3 Nhật ký dừng máy'!$B$6:$B$1005,$B405,'3 Nhật ký dừng máy'!$C$6:$C$1005,$C405,'3 Nhật ký dừng máy'!$K$6:$K$1005,"Ngoài kế hoạch"))</f>
        <v/>
      </c>
      <c r="R405" s="30" t="str">
        <f>IF($C405="","",COUNTIFS('3 Nhật ký dừng máy'!$A$6:$A$1005,$A405,'3 Nhật ký dừng máy'!$B$6:$B$1005,$B405,'3 Nhật ký dừng máy'!$C$6:$C$1005,$C405,'3 Nhật ký dừng máy'!$K$6:$K$1005,"Ngoài kế hoạch"))</f>
        <v/>
      </c>
      <c r="S405" s="31" t="str">
        <f t="shared" si="70"/>
        <v/>
      </c>
      <c r="T405" s="31" t="str">
        <f t="shared" si="71"/>
        <v/>
      </c>
      <c r="U405" s="31" t="str">
        <f t="shared" si="72"/>
        <v/>
      </c>
      <c r="V405" s="32" t="str">
        <f t="shared" si="73"/>
        <v/>
      </c>
      <c r="W405" s="30" t="str">
        <f t="shared" si="74"/>
        <v/>
      </c>
      <c r="X405" s="33" t="str">
        <f t="shared" si="75"/>
        <v/>
      </c>
      <c r="Y405" s="34" t="str">
        <f t="shared" si="76"/>
        <v/>
      </c>
    </row>
    <row r="406" spans="1:25" x14ac:dyDescent="0.2">
      <c r="A406" s="35"/>
      <c r="B406" s="21"/>
      <c r="C406" s="18"/>
      <c r="D406" s="21"/>
      <c r="E406" s="21"/>
      <c r="F406" s="21"/>
      <c r="G406" s="36"/>
      <c r="H406" s="36"/>
      <c r="I406" s="36"/>
      <c r="J406" s="37"/>
      <c r="K406" s="18"/>
      <c r="L406" s="28" t="str">
        <f t="shared" si="66"/>
        <v/>
      </c>
      <c r="M406" s="29" t="str">
        <f t="shared" si="67"/>
        <v/>
      </c>
      <c r="N406" s="29" t="str">
        <f t="shared" si="68"/>
        <v/>
      </c>
      <c r="O406" s="30" t="str">
        <f t="shared" si="69"/>
        <v/>
      </c>
      <c r="P406" s="28" t="str">
        <f>IF($C406="","",IFERROR(INDEX(CA_TG,MATCH(B406,DS_CA,0))-INDEX(CA_NGHI,MATCH(B406,DS_CA,0))-SUMIFS('3 Nhật ký dừng máy'!$I$6:$I$1005,'3 Nhật ký dừng máy'!$A$6:$A$1005,$A406,'3 Nhật ký dừng máy'!$B$6:$B$1005,$B406,'3 Nhật ký dừng máy'!$C$6:$C$1005,$C406,'3 Nhật ký dừng máy'!$K$6:$K$1005,"Có kế hoạch"),"?"))</f>
        <v/>
      </c>
      <c r="Q406" s="28" t="str">
        <f>IF($C406="","",SUMIFS('3 Nhật ký dừng máy'!$I$6:$I$1005,'3 Nhật ký dừng máy'!$A$6:$A$1005,$A406,'3 Nhật ký dừng máy'!$B$6:$B$1005,$B406,'3 Nhật ký dừng máy'!$C$6:$C$1005,$C406,'3 Nhật ký dừng máy'!$K$6:$K$1005,"Ngoài kế hoạch"))</f>
        <v/>
      </c>
      <c r="R406" s="30" t="str">
        <f>IF($C406="","",COUNTIFS('3 Nhật ký dừng máy'!$A$6:$A$1005,$A406,'3 Nhật ký dừng máy'!$B$6:$B$1005,$B406,'3 Nhật ký dừng máy'!$C$6:$C$1005,$C406,'3 Nhật ký dừng máy'!$K$6:$K$1005,"Ngoài kế hoạch"))</f>
        <v/>
      </c>
      <c r="S406" s="31" t="str">
        <f t="shared" si="70"/>
        <v/>
      </c>
      <c r="T406" s="31" t="str">
        <f t="shared" si="71"/>
        <v/>
      </c>
      <c r="U406" s="31" t="str">
        <f t="shared" si="72"/>
        <v/>
      </c>
      <c r="V406" s="32" t="str">
        <f t="shared" si="73"/>
        <v/>
      </c>
      <c r="W406" s="30" t="str">
        <f t="shared" si="74"/>
        <v/>
      </c>
      <c r="X406" s="33" t="str">
        <f t="shared" si="75"/>
        <v/>
      </c>
      <c r="Y406" s="34" t="str">
        <f t="shared" si="76"/>
        <v/>
      </c>
    </row>
    <row r="407" spans="1:25" x14ac:dyDescent="0.2">
      <c r="A407" s="35"/>
      <c r="B407" s="21"/>
      <c r="C407" s="18"/>
      <c r="D407" s="21"/>
      <c r="E407" s="21"/>
      <c r="F407" s="21"/>
      <c r="G407" s="36"/>
      <c r="H407" s="36"/>
      <c r="I407" s="36"/>
      <c r="J407" s="37"/>
      <c r="K407" s="18"/>
      <c r="L407" s="28" t="str">
        <f t="shared" si="66"/>
        <v/>
      </c>
      <c r="M407" s="29" t="str">
        <f t="shared" si="67"/>
        <v/>
      </c>
      <c r="N407" s="29" t="str">
        <f t="shared" si="68"/>
        <v/>
      </c>
      <c r="O407" s="30" t="str">
        <f t="shared" si="69"/>
        <v/>
      </c>
      <c r="P407" s="28" t="str">
        <f>IF($C407="","",IFERROR(INDEX(CA_TG,MATCH(B407,DS_CA,0))-INDEX(CA_NGHI,MATCH(B407,DS_CA,0))-SUMIFS('3 Nhật ký dừng máy'!$I$6:$I$1005,'3 Nhật ký dừng máy'!$A$6:$A$1005,$A407,'3 Nhật ký dừng máy'!$B$6:$B$1005,$B407,'3 Nhật ký dừng máy'!$C$6:$C$1005,$C407,'3 Nhật ký dừng máy'!$K$6:$K$1005,"Có kế hoạch"),"?"))</f>
        <v/>
      </c>
      <c r="Q407" s="28" t="str">
        <f>IF($C407="","",SUMIFS('3 Nhật ký dừng máy'!$I$6:$I$1005,'3 Nhật ký dừng máy'!$A$6:$A$1005,$A407,'3 Nhật ký dừng máy'!$B$6:$B$1005,$B407,'3 Nhật ký dừng máy'!$C$6:$C$1005,$C407,'3 Nhật ký dừng máy'!$K$6:$K$1005,"Ngoài kế hoạch"))</f>
        <v/>
      </c>
      <c r="R407" s="30" t="str">
        <f>IF($C407="","",COUNTIFS('3 Nhật ký dừng máy'!$A$6:$A$1005,$A407,'3 Nhật ký dừng máy'!$B$6:$B$1005,$B407,'3 Nhật ký dừng máy'!$C$6:$C$1005,$C407,'3 Nhật ký dừng máy'!$K$6:$K$1005,"Ngoài kế hoạch"))</f>
        <v/>
      </c>
      <c r="S407" s="31" t="str">
        <f t="shared" si="70"/>
        <v/>
      </c>
      <c r="T407" s="31" t="str">
        <f t="shared" si="71"/>
        <v/>
      </c>
      <c r="U407" s="31" t="str">
        <f t="shared" si="72"/>
        <v/>
      </c>
      <c r="V407" s="32" t="str">
        <f t="shared" si="73"/>
        <v/>
      </c>
      <c r="W407" s="30" t="str">
        <f t="shared" si="74"/>
        <v/>
      </c>
      <c r="X407" s="33" t="str">
        <f t="shared" si="75"/>
        <v/>
      </c>
      <c r="Y407" s="34" t="str">
        <f t="shared" si="76"/>
        <v/>
      </c>
    </row>
    <row r="408" spans="1:25" x14ac:dyDescent="0.2">
      <c r="A408" s="35"/>
      <c r="B408" s="21"/>
      <c r="C408" s="18"/>
      <c r="D408" s="21"/>
      <c r="E408" s="21"/>
      <c r="F408" s="21"/>
      <c r="G408" s="36"/>
      <c r="H408" s="36"/>
      <c r="I408" s="36"/>
      <c r="J408" s="37"/>
      <c r="K408" s="18"/>
      <c r="L408" s="28" t="str">
        <f t="shared" si="66"/>
        <v/>
      </c>
      <c r="M408" s="29" t="str">
        <f t="shared" si="67"/>
        <v/>
      </c>
      <c r="N408" s="29" t="str">
        <f t="shared" si="68"/>
        <v/>
      </c>
      <c r="O408" s="30" t="str">
        <f t="shared" si="69"/>
        <v/>
      </c>
      <c r="P408" s="28" t="str">
        <f>IF($C408="","",IFERROR(INDEX(CA_TG,MATCH(B408,DS_CA,0))-INDEX(CA_NGHI,MATCH(B408,DS_CA,0))-SUMIFS('3 Nhật ký dừng máy'!$I$6:$I$1005,'3 Nhật ký dừng máy'!$A$6:$A$1005,$A408,'3 Nhật ký dừng máy'!$B$6:$B$1005,$B408,'3 Nhật ký dừng máy'!$C$6:$C$1005,$C408,'3 Nhật ký dừng máy'!$K$6:$K$1005,"Có kế hoạch"),"?"))</f>
        <v/>
      </c>
      <c r="Q408" s="28" t="str">
        <f>IF($C408="","",SUMIFS('3 Nhật ký dừng máy'!$I$6:$I$1005,'3 Nhật ký dừng máy'!$A$6:$A$1005,$A408,'3 Nhật ký dừng máy'!$B$6:$B$1005,$B408,'3 Nhật ký dừng máy'!$C$6:$C$1005,$C408,'3 Nhật ký dừng máy'!$K$6:$K$1005,"Ngoài kế hoạch"))</f>
        <v/>
      </c>
      <c r="R408" s="30" t="str">
        <f>IF($C408="","",COUNTIFS('3 Nhật ký dừng máy'!$A$6:$A$1005,$A408,'3 Nhật ký dừng máy'!$B$6:$B$1005,$B408,'3 Nhật ký dừng máy'!$C$6:$C$1005,$C408,'3 Nhật ký dừng máy'!$K$6:$K$1005,"Ngoài kế hoạch"))</f>
        <v/>
      </c>
      <c r="S408" s="31" t="str">
        <f t="shared" si="70"/>
        <v/>
      </c>
      <c r="T408" s="31" t="str">
        <f t="shared" si="71"/>
        <v/>
      </c>
      <c r="U408" s="31" t="str">
        <f t="shared" si="72"/>
        <v/>
      </c>
      <c r="V408" s="32" t="str">
        <f t="shared" si="73"/>
        <v/>
      </c>
      <c r="W408" s="30" t="str">
        <f t="shared" si="74"/>
        <v/>
      </c>
      <c r="X408" s="33" t="str">
        <f t="shared" si="75"/>
        <v/>
      </c>
      <c r="Y408" s="34" t="str">
        <f t="shared" si="76"/>
        <v/>
      </c>
    </row>
    <row r="409" spans="1:25" x14ac:dyDescent="0.2">
      <c r="A409" s="35"/>
      <c r="B409" s="21"/>
      <c r="C409" s="18"/>
      <c r="D409" s="21"/>
      <c r="E409" s="21"/>
      <c r="F409" s="21"/>
      <c r="G409" s="36"/>
      <c r="H409" s="36"/>
      <c r="I409" s="36"/>
      <c r="J409" s="37"/>
      <c r="K409" s="18"/>
      <c r="L409" s="28" t="str">
        <f t="shared" si="66"/>
        <v/>
      </c>
      <c r="M409" s="29" t="str">
        <f t="shared" si="67"/>
        <v/>
      </c>
      <c r="N409" s="29" t="str">
        <f t="shared" si="68"/>
        <v/>
      </c>
      <c r="O409" s="30" t="str">
        <f t="shared" si="69"/>
        <v/>
      </c>
      <c r="P409" s="28" t="str">
        <f>IF($C409="","",IFERROR(INDEX(CA_TG,MATCH(B409,DS_CA,0))-INDEX(CA_NGHI,MATCH(B409,DS_CA,0))-SUMIFS('3 Nhật ký dừng máy'!$I$6:$I$1005,'3 Nhật ký dừng máy'!$A$6:$A$1005,$A409,'3 Nhật ký dừng máy'!$B$6:$B$1005,$B409,'3 Nhật ký dừng máy'!$C$6:$C$1005,$C409,'3 Nhật ký dừng máy'!$K$6:$K$1005,"Có kế hoạch"),"?"))</f>
        <v/>
      </c>
      <c r="Q409" s="28" t="str">
        <f>IF($C409="","",SUMIFS('3 Nhật ký dừng máy'!$I$6:$I$1005,'3 Nhật ký dừng máy'!$A$6:$A$1005,$A409,'3 Nhật ký dừng máy'!$B$6:$B$1005,$B409,'3 Nhật ký dừng máy'!$C$6:$C$1005,$C409,'3 Nhật ký dừng máy'!$K$6:$K$1005,"Ngoài kế hoạch"))</f>
        <v/>
      </c>
      <c r="R409" s="30" t="str">
        <f>IF($C409="","",COUNTIFS('3 Nhật ký dừng máy'!$A$6:$A$1005,$A409,'3 Nhật ký dừng máy'!$B$6:$B$1005,$B409,'3 Nhật ký dừng máy'!$C$6:$C$1005,$C409,'3 Nhật ký dừng máy'!$K$6:$K$1005,"Ngoài kế hoạch"))</f>
        <v/>
      </c>
      <c r="S409" s="31" t="str">
        <f t="shared" si="70"/>
        <v/>
      </c>
      <c r="T409" s="31" t="str">
        <f t="shared" si="71"/>
        <v/>
      </c>
      <c r="U409" s="31" t="str">
        <f t="shared" si="72"/>
        <v/>
      </c>
      <c r="V409" s="32" t="str">
        <f t="shared" si="73"/>
        <v/>
      </c>
      <c r="W409" s="30" t="str">
        <f t="shared" si="74"/>
        <v/>
      </c>
      <c r="X409" s="33" t="str">
        <f t="shared" si="75"/>
        <v/>
      </c>
      <c r="Y409" s="34" t="str">
        <f t="shared" si="76"/>
        <v/>
      </c>
    </row>
    <row r="410" spans="1:25" x14ac:dyDescent="0.2">
      <c r="A410" s="35"/>
      <c r="B410" s="21"/>
      <c r="C410" s="18"/>
      <c r="D410" s="21"/>
      <c r="E410" s="21"/>
      <c r="F410" s="21"/>
      <c r="G410" s="36"/>
      <c r="H410" s="36"/>
      <c r="I410" s="36"/>
      <c r="J410" s="37"/>
      <c r="K410" s="18"/>
      <c r="L410" s="28" t="str">
        <f t="shared" si="66"/>
        <v/>
      </c>
      <c r="M410" s="29" t="str">
        <f t="shared" si="67"/>
        <v/>
      </c>
      <c r="N410" s="29" t="str">
        <f t="shared" si="68"/>
        <v/>
      </c>
      <c r="O410" s="30" t="str">
        <f t="shared" si="69"/>
        <v/>
      </c>
      <c r="P410" s="28" t="str">
        <f>IF($C410="","",IFERROR(INDEX(CA_TG,MATCH(B410,DS_CA,0))-INDEX(CA_NGHI,MATCH(B410,DS_CA,0))-SUMIFS('3 Nhật ký dừng máy'!$I$6:$I$1005,'3 Nhật ký dừng máy'!$A$6:$A$1005,$A410,'3 Nhật ký dừng máy'!$B$6:$B$1005,$B410,'3 Nhật ký dừng máy'!$C$6:$C$1005,$C410,'3 Nhật ký dừng máy'!$K$6:$K$1005,"Có kế hoạch"),"?"))</f>
        <v/>
      </c>
      <c r="Q410" s="28" t="str">
        <f>IF($C410="","",SUMIFS('3 Nhật ký dừng máy'!$I$6:$I$1005,'3 Nhật ký dừng máy'!$A$6:$A$1005,$A410,'3 Nhật ký dừng máy'!$B$6:$B$1005,$B410,'3 Nhật ký dừng máy'!$C$6:$C$1005,$C410,'3 Nhật ký dừng máy'!$K$6:$K$1005,"Ngoài kế hoạch"))</f>
        <v/>
      </c>
      <c r="R410" s="30" t="str">
        <f>IF($C410="","",COUNTIFS('3 Nhật ký dừng máy'!$A$6:$A$1005,$A410,'3 Nhật ký dừng máy'!$B$6:$B$1005,$B410,'3 Nhật ký dừng máy'!$C$6:$C$1005,$C410,'3 Nhật ký dừng máy'!$K$6:$K$1005,"Ngoài kế hoạch"))</f>
        <v/>
      </c>
      <c r="S410" s="31" t="str">
        <f t="shared" si="70"/>
        <v/>
      </c>
      <c r="T410" s="31" t="str">
        <f t="shared" si="71"/>
        <v/>
      </c>
      <c r="U410" s="31" t="str">
        <f t="shared" si="72"/>
        <v/>
      </c>
      <c r="V410" s="32" t="str">
        <f t="shared" si="73"/>
        <v/>
      </c>
      <c r="W410" s="30" t="str">
        <f t="shared" si="74"/>
        <v/>
      </c>
      <c r="X410" s="33" t="str">
        <f t="shared" si="75"/>
        <v/>
      </c>
      <c r="Y410" s="34" t="str">
        <f t="shared" si="76"/>
        <v/>
      </c>
    </row>
    <row r="411" spans="1:25" x14ac:dyDescent="0.2">
      <c r="A411" s="35"/>
      <c r="B411" s="21"/>
      <c r="C411" s="18"/>
      <c r="D411" s="21"/>
      <c r="E411" s="21"/>
      <c r="F411" s="21"/>
      <c r="G411" s="36"/>
      <c r="H411" s="36"/>
      <c r="I411" s="36"/>
      <c r="J411" s="37"/>
      <c r="K411" s="18"/>
      <c r="L411" s="28" t="str">
        <f t="shared" si="66"/>
        <v/>
      </c>
      <c r="M411" s="29" t="str">
        <f t="shared" si="67"/>
        <v/>
      </c>
      <c r="N411" s="29" t="str">
        <f t="shared" si="68"/>
        <v/>
      </c>
      <c r="O411" s="30" t="str">
        <f t="shared" si="69"/>
        <v/>
      </c>
      <c r="P411" s="28" t="str">
        <f>IF($C411="","",IFERROR(INDEX(CA_TG,MATCH(B411,DS_CA,0))-INDEX(CA_NGHI,MATCH(B411,DS_CA,0))-SUMIFS('3 Nhật ký dừng máy'!$I$6:$I$1005,'3 Nhật ký dừng máy'!$A$6:$A$1005,$A411,'3 Nhật ký dừng máy'!$B$6:$B$1005,$B411,'3 Nhật ký dừng máy'!$C$6:$C$1005,$C411,'3 Nhật ký dừng máy'!$K$6:$K$1005,"Có kế hoạch"),"?"))</f>
        <v/>
      </c>
      <c r="Q411" s="28" t="str">
        <f>IF($C411="","",SUMIFS('3 Nhật ký dừng máy'!$I$6:$I$1005,'3 Nhật ký dừng máy'!$A$6:$A$1005,$A411,'3 Nhật ký dừng máy'!$B$6:$B$1005,$B411,'3 Nhật ký dừng máy'!$C$6:$C$1005,$C411,'3 Nhật ký dừng máy'!$K$6:$K$1005,"Ngoài kế hoạch"))</f>
        <v/>
      </c>
      <c r="R411" s="30" t="str">
        <f>IF($C411="","",COUNTIFS('3 Nhật ký dừng máy'!$A$6:$A$1005,$A411,'3 Nhật ký dừng máy'!$B$6:$B$1005,$B411,'3 Nhật ký dừng máy'!$C$6:$C$1005,$C411,'3 Nhật ký dừng máy'!$K$6:$K$1005,"Ngoài kế hoạch"))</f>
        <v/>
      </c>
      <c r="S411" s="31" t="str">
        <f t="shared" si="70"/>
        <v/>
      </c>
      <c r="T411" s="31" t="str">
        <f t="shared" si="71"/>
        <v/>
      </c>
      <c r="U411" s="31" t="str">
        <f t="shared" si="72"/>
        <v/>
      </c>
      <c r="V411" s="32" t="str">
        <f t="shared" si="73"/>
        <v/>
      </c>
      <c r="W411" s="30" t="str">
        <f t="shared" si="74"/>
        <v/>
      </c>
      <c r="X411" s="33" t="str">
        <f t="shared" si="75"/>
        <v/>
      </c>
      <c r="Y411" s="34" t="str">
        <f t="shared" si="76"/>
        <v/>
      </c>
    </row>
    <row r="412" spans="1:25" x14ac:dyDescent="0.2">
      <c r="A412" s="35"/>
      <c r="B412" s="21"/>
      <c r="C412" s="18"/>
      <c r="D412" s="21"/>
      <c r="E412" s="21"/>
      <c r="F412" s="21"/>
      <c r="G412" s="36"/>
      <c r="H412" s="36"/>
      <c r="I412" s="36"/>
      <c r="J412" s="37"/>
      <c r="K412" s="18"/>
      <c r="L412" s="28" t="str">
        <f t="shared" si="66"/>
        <v/>
      </c>
      <c r="M412" s="29" t="str">
        <f t="shared" si="67"/>
        <v/>
      </c>
      <c r="N412" s="29" t="str">
        <f t="shared" si="68"/>
        <v/>
      </c>
      <c r="O412" s="30" t="str">
        <f t="shared" si="69"/>
        <v/>
      </c>
      <c r="P412" s="28" t="str">
        <f>IF($C412="","",IFERROR(INDEX(CA_TG,MATCH(B412,DS_CA,0))-INDEX(CA_NGHI,MATCH(B412,DS_CA,0))-SUMIFS('3 Nhật ký dừng máy'!$I$6:$I$1005,'3 Nhật ký dừng máy'!$A$6:$A$1005,$A412,'3 Nhật ký dừng máy'!$B$6:$B$1005,$B412,'3 Nhật ký dừng máy'!$C$6:$C$1005,$C412,'3 Nhật ký dừng máy'!$K$6:$K$1005,"Có kế hoạch"),"?"))</f>
        <v/>
      </c>
      <c r="Q412" s="28" t="str">
        <f>IF($C412="","",SUMIFS('3 Nhật ký dừng máy'!$I$6:$I$1005,'3 Nhật ký dừng máy'!$A$6:$A$1005,$A412,'3 Nhật ký dừng máy'!$B$6:$B$1005,$B412,'3 Nhật ký dừng máy'!$C$6:$C$1005,$C412,'3 Nhật ký dừng máy'!$K$6:$K$1005,"Ngoài kế hoạch"))</f>
        <v/>
      </c>
      <c r="R412" s="30" t="str">
        <f>IF($C412="","",COUNTIFS('3 Nhật ký dừng máy'!$A$6:$A$1005,$A412,'3 Nhật ký dừng máy'!$B$6:$B$1005,$B412,'3 Nhật ký dừng máy'!$C$6:$C$1005,$C412,'3 Nhật ký dừng máy'!$K$6:$K$1005,"Ngoài kế hoạch"))</f>
        <v/>
      </c>
      <c r="S412" s="31" t="str">
        <f t="shared" si="70"/>
        <v/>
      </c>
      <c r="T412" s="31" t="str">
        <f t="shared" si="71"/>
        <v/>
      </c>
      <c r="U412" s="31" t="str">
        <f t="shared" si="72"/>
        <v/>
      </c>
      <c r="V412" s="32" t="str">
        <f t="shared" si="73"/>
        <v/>
      </c>
      <c r="W412" s="30" t="str">
        <f t="shared" si="74"/>
        <v/>
      </c>
      <c r="X412" s="33" t="str">
        <f t="shared" si="75"/>
        <v/>
      </c>
      <c r="Y412" s="34" t="str">
        <f t="shared" si="76"/>
        <v/>
      </c>
    </row>
    <row r="413" spans="1:25" x14ac:dyDescent="0.2">
      <c r="A413" s="35"/>
      <c r="B413" s="21"/>
      <c r="C413" s="18"/>
      <c r="D413" s="21"/>
      <c r="E413" s="21"/>
      <c r="F413" s="21"/>
      <c r="G413" s="36"/>
      <c r="H413" s="36"/>
      <c r="I413" s="36"/>
      <c r="J413" s="37"/>
      <c r="K413" s="18"/>
      <c r="L413" s="28" t="str">
        <f t="shared" si="66"/>
        <v/>
      </c>
      <c r="M413" s="29" t="str">
        <f t="shared" si="67"/>
        <v/>
      </c>
      <c r="N413" s="29" t="str">
        <f t="shared" si="68"/>
        <v/>
      </c>
      <c r="O413" s="30" t="str">
        <f t="shared" si="69"/>
        <v/>
      </c>
      <c r="P413" s="28" t="str">
        <f>IF($C413="","",IFERROR(INDEX(CA_TG,MATCH(B413,DS_CA,0))-INDEX(CA_NGHI,MATCH(B413,DS_CA,0))-SUMIFS('3 Nhật ký dừng máy'!$I$6:$I$1005,'3 Nhật ký dừng máy'!$A$6:$A$1005,$A413,'3 Nhật ký dừng máy'!$B$6:$B$1005,$B413,'3 Nhật ký dừng máy'!$C$6:$C$1005,$C413,'3 Nhật ký dừng máy'!$K$6:$K$1005,"Có kế hoạch"),"?"))</f>
        <v/>
      </c>
      <c r="Q413" s="28" t="str">
        <f>IF($C413="","",SUMIFS('3 Nhật ký dừng máy'!$I$6:$I$1005,'3 Nhật ký dừng máy'!$A$6:$A$1005,$A413,'3 Nhật ký dừng máy'!$B$6:$B$1005,$B413,'3 Nhật ký dừng máy'!$C$6:$C$1005,$C413,'3 Nhật ký dừng máy'!$K$6:$K$1005,"Ngoài kế hoạch"))</f>
        <v/>
      </c>
      <c r="R413" s="30" t="str">
        <f>IF($C413="","",COUNTIFS('3 Nhật ký dừng máy'!$A$6:$A$1005,$A413,'3 Nhật ký dừng máy'!$B$6:$B$1005,$B413,'3 Nhật ký dừng máy'!$C$6:$C$1005,$C413,'3 Nhật ký dừng máy'!$K$6:$K$1005,"Ngoài kế hoạch"))</f>
        <v/>
      </c>
      <c r="S413" s="31" t="str">
        <f t="shared" si="70"/>
        <v/>
      </c>
      <c r="T413" s="31" t="str">
        <f t="shared" si="71"/>
        <v/>
      </c>
      <c r="U413" s="31" t="str">
        <f t="shared" si="72"/>
        <v/>
      </c>
      <c r="V413" s="32" t="str">
        <f t="shared" si="73"/>
        <v/>
      </c>
      <c r="W413" s="30" t="str">
        <f t="shared" si="74"/>
        <v/>
      </c>
      <c r="X413" s="33" t="str">
        <f t="shared" si="75"/>
        <v/>
      </c>
      <c r="Y413" s="34" t="str">
        <f t="shared" si="76"/>
        <v/>
      </c>
    </row>
    <row r="414" spans="1:25" x14ac:dyDescent="0.2">
      <c r="A414" s="35"/>
      <c r="B414" s="21"/>
      <c r="C414" s="18"/>
      <c r="D414" s="21"/>
      <c r="E414" s="21"/>
      <c r="F414" s="21"/>
      <c r="G414" s="36"/>
      <c r="H414" s="36"/>
      <c r="I414" s="36"/>
      <c r="J414" s="37"/>
      <c r="K414" s="18"/>
      <c r="L414" s="28" t="str">
        <f t="shared" si="66"/>
        <v/>
      </c>
      <c r="M414" s="29" t="str">
        <f t="shared" si="67"/>
        <v/>
      </c>
      <c r="N414" s="29" t="str">
        <f t="shared" si="68"/>
        <v/>
      </c>
      <c r="O414" s="30" t="str">
        <f t="shared" si="69"/>
        <v/>
      </c>
      <c r="P414" s="28" t="str">
        <f>IF($C414="","",IFERROR(INDEX(CA_TG,MATCH(B414,DS_CA,0))-INDEX(CA_NGHI,MATCH(B414,DS_CA,0))-SUMIFS('3 Nhật ký dừng máy'!$I$6:$I$1005,'3 Nhật ký dừng máy'!$A$6:$A$1005,$A414,'3 Nhật ký dừng máy'!$B$6:$B$1005,$B414,'3 Nhật ký dừng máy'!$C$6:$C$1005,$C414,'3 Nhật ký dừng máy'!$K$6:$K$1005,"Có kế hoạch"),"?"))</f>
        <v/>
      </c>
      <c r="Q414" s="28" t="str">
        <f>IF($C414="","",SUMIFS('3 Nhật ký dừng máy'!$I$6:$I$1005,'3 Nhật ký dừng máy'!$A$6:$A$1005,$A414,'3 Nhật ký dừng máy'!$B$6:$B$1005,$B414,'3 Nhật ký dừng máy'!$C$6:$C$1005,$C414,'3 Nhật ký dừng máy'!$K$6:$K$1005,"Ngoài kế hoạch"))</f>
        <v/>
      </c>
      <c r="R414" s="30" t="str">
        <f>IF($C414="","",COUNTIFS('3 Nhật ký dừng máy'!$A$6:$A$1005,$A414,'3 Nhật ký dừng máy'!$B$6:$B$1005,$B414,'3 Nhật ký dừng máy'!$C$6:$C$1005,$C414,'3 Nhật ký dừng máy'!$K$6:$K$1005,"Ngoài kế hoạch"))</f>
        <v/>
      </c>
      <c r="S414" s="31" t="str">
        <f t="shared" si="70"/>
        <v/>
      </c>
      <c r="T414" s="31" t="str">
        <f t="shared" si="71"/>
        <v/>
      </c>
      <c r="U414" s="31" t="str">
        <f t="shared" si="72"/>
        <v/>
      </c>
      <c r="V414" s="32" t="str">
        <f t="shared" si="73"/>
        <v/>
      </c>
      <c r="W414" s="30" t="str">
        <f t="shared" si="74"/>
        <v/>
      </c>
      <c r="X414" s="33" t="str">
        <f t="shared" si="75"/>
        <v/>
      </c>
      <c r="Y414" s="34" t="str">
        <f t="shared" si="76"/>
        <v/>
      </c>
    </row>
    <row r="415" spans="1:25" x14ac:dyDescent="0.2">
      <c r="A415" s="35"/>
      <c r="B415" s="21"/>
      <c r="C415" s="18"/>
      <c r="D415" s="21"/>
      <c r="E415" s="21"/>
      <c r="F415" s="21"/>
      <c r="G415" s="36"/>
      <c r="H415" s="36"/>
      <c r="I415" s="36"/>
      <c r="J415" s="37"/>
      <c r="K415" s="18"/>
      <c r="L415" s="28" t="str">
        <f t="shared" si="66"/>
        <v/>
      </c>
      <c r="M415" s="29" t="str">
        <f t="shared" si="67"/>
        <v/>
      </c>
      <c r="N415" s="29" t="str">
        <f t="shared" si="68"/>
        <v/>
      </c>
      <c r="O415" s="30" t="str">
        <f t="shared" si="69"/>
        <v/>
      </c>
      <c r="P415" s="28" t="str">
        <f>IF($C415="","",IFERROR(INDEX(CA_TG,MATCH(B415,DS_CA,0))-INDEX(CA_NGHI,MATCH(B415,DS_CA,0))-SUMIFS('3 Nhật ký dừng máy'!$I$6:$I$1005,'3 Nhật ký dừng máy'!$A$6:$A$1005,$A415,'3 Nhật ký dừng máy'!$B$6:$B$1005,$B415,'3 Nhật ký dừng máy'!$C$6:$C$1005,$C415,'3 Nhật ký dừng máy'!$K$6:$K$1005,"Có kế hoạch"),"?"))</f>
        <v/>
      </c>
      <c r="Q415" s="28" t="str">
        <f>IF($C415="","",SUMIFS('3 Nhật ký dừng máy'!$I$6:$I$1005,'3 Nhật ký dừng máy'!$A$6:$A$1005,$A415,'3 Nhật ký dừng máy'!$B$6:$B$1005,$B415,'3 Nhật ký dừng máy'!$C$6:$C$1005,$C415,'3 Nhật ký dừng máy'!$K$6:$K$1005,"Ngoài kế hoạch"))</f>
        <v/>
      </c>
      <c r="R415" s="30" t="str">
        <f>IF($C415="","",COUNTIFS('3 Nhật ký dừng máy'!$A$6:$A$1005,$A415,'3 Nhật ký dừng máy'!$B$6:$B$1005,$B415,'3 Nhật ký dừng máy'!$C$6:$C$1005,$C415,'3 Nhật ký dừng máy'!$K$6:$K$1005,"Ngoài kế hoạch"))</f>
        <v/>
      </c>
      <c r="S415" s="31" t="str">
        <f t="shared" si="70"/>
        <v/>
      </c>
      <c r="T415" s="31" t="str">
        <f t="shared" si="71"/>
        <v/>
      </c>
      <c r="U415" s="31" t="str">
        <f t="shared" si="72"/>
        <v/>
      </c>
      <c r="V415" s="32" t="str">
        <f t="shared" si="73"/>
        <v/>
      </c>
      <c r="W415" s="30" t="str">
        <f t="shared" si="74"/>
        <v/>
      </c>
      <c r="X415" s="33" t="str">
        <f t="shared" si="75"/>
        <v/>
      </c>
      <c r="Y415" s="34" t="str">
        <f t="shared" si="76"/>
        <v/>
      </c>
    </row>
    <row r="416" spans="1:25" x14ac:dyDescent="0.2">
      <c r="A416" s="35"/>
      <c r="B416" s="21"/>
      <c r="C416" s="18"/>
      <c r="D416" s="21"/>
      <c r="E416" s="21"/>
      <c r="F416" s="21"/>
      <c r="G416" s="36"/>
      <c r="H416" s="36"/>
      <c r="I416" s="36"/>
      <c r="J416" s="37"/>
      <c r="K416" s="18"/>
      <c r="L416" s="28" t="str">
        <f t="shared" si="66"/>
        <v/>
      </c>
      <c r="M416" s="29" t="str">
        <f t="shared" si="67"/>
        <v/>
      </c>
      <c r="N416" s="29" t="str">
        <f t="shared" si="68"/>
        <v/>
      </c>
      <c r="O416" s="30" t="str">
        <f t="shared" si="69"/>
        <v/>
      </c>
      <c r="P416" s="28" t="str">
        <f>IF($C416="","",IFERROR(INDEX(CA_TG,MATCH(B416,DS_CA,0))-INDEX(CA_NGHI,MATCH(B416,DS_CA,0))-SUMIFS('3 Nhật ký dừng máy'!$I$6:$I$1005,'3 Nhật ký dừng máy'!$A$6:$A$1005,$A416,'3 Nhật ký dừng máy'!$B$6:$B$1005,$B416,'3 Nhật ký dừng máy'!$C$6:$C$1005,$C416,'3 Nhật ký dừng máy'!$K$6:$K$1005,"Có kế hoạch"),"?"))</f>
        <v/>
      </c>
      <c r="Q416" s="28" t="str">
        <f>IF($C416="","",SUMIFS('3 Nhật ký dừng máy'!$I$6:$I$1005,'3 Nhật ký dừng máy'!$A$6:$A$1005,$A416,'3 Nhật ký dừng máy'!$B$6:$B$1005,$B416,'3 Nhật ký dừng máy'!$C$6:$C$1005,$C416,'3 Nhật ký dừng máy'!$K$6:$K$1005,"Ngoài kế hoạch"))</f>
        <v/>
      </c>
      <c r="R416" s="30" t="str">
        <f>IF($C416="","",COUNTIFS('3 Nhật ký dừng máy'!$A$6:$A$1005,$A416,'3 Nhật ký dừng máy'!$B$6:$B$1005,$B416,'3 Nhật ký dừng máy'!$C$6:$C$1005,$C416,'3 Nhật ký dừng máy'!$K$6:$K$1005,"Ngoài kế hoạch"))</f>
        <v/>
      </c>
      <c r="S416" s="31" t="str">
        <f t="shared" si="70"/>
        <v/>
      </c>
      <c r="T416" s="31" t="str">
        <f t="shared" si="71"/>
        <v/>
      </c>
      <c r="U416" s="31" t="str">
        <f t="shared" si="72"/>
        <v/>
      </c>
      <c r="V416" s="32" t="str">
        <f t="shared" si="73"/>
        <v/>
      </c>
      <c r="W416" s="30" t="str">
        <f t="shared" si="74"/>
        <v/>
      </c>
      <c r="X416" s="33" t="str">
        <f t="shared" si="75"/>
        <v/>
      </c>
      <c r="Y416" s="34" t="str">
        <f t="shared" si="76"/>
        <v/>
      </c>
    </row>
    <row r="417" spans="1:25" x14ac:dyDescent="0.2">
      <c r="A417" s="35"/>
      <c r="B417" s="21"/>
      <c r="C417" s="18"/>
      <c r="D417" s="21"/>
      <c r="E417" s="21"/>
      <c r="F417" s="21"/>
      <c r="G417" s="36"/>
      <c r="H417" s="36"/>
      <c r="I417" s="36"/>
      <c r="J417" s="37"/>
      <c r="K417" s="18"/>
      <c r="L417" s="28" t="str">
        <f t="shared" si="66"/>
        <v/>
      </c>
      <c r="M417" s="29" t="str">
        <f t="shared" si="67"/>
        <v/>
      </c>
      <c r="N417" s="29" t="str">
        <f t="shared" si="68"/>
        <v/>
      </c>
      <c r="O417" s="30" t="str">
        <f t="shared" si="69"/>
        <v/>
      </c>
      <c r="P417" s="28" t="str">
        <f>IF($C417="","",IFERROR(INDEX(CA_TG,MATCH(B417,DS_CA,0))-INDEX(CA_NGHI,MATCH(B417,DS_CA,0))-SUMIFS('3 Nhật ký dừng máy'!$I$6:$I$1005,'3 Nhật ký dừng máy'!$A$6:$A$1005,$A417,'3 Nhật ký dừng máy'!$B$6:$B$1005,$B417,'3 Nhật ký dừng máy'!$C$6:$C$1005,$C417,'3 Nhật ký dừng máy'!$K$6:$K$1005,"Có kế hoạch"),"?"))</f>
        <v/>
      </c>
      <c r="Q417" s="28" t="str">
        <f>IF($C417="","",SUMIFS('3 Nhật ký dừng máy'!$I$6:$I$1005,'3 Nhật ký dừng máy'!$A$6:$A$1005,$A417,'3 Nhật ký dừng máy'!$B$6:$B$1005,$B417,'3 Nhật ký dừng máy'!$C$6:$C$1005,$C417,'3 Nhật ký dừng máy'!$K$6:$K$1005,"Ngoài kế hoạch"))</f>
        <v/>
      </c>
      <c r="R417" s="30" t="str">
        <f>IF($C417="","",COUNTIFS('3 Nhật ký dừng máy'!$A$6:$A$1005,$A417,'3 Nhật ký dừng máy'!$B$6:$B$1005,$B417,'3 Nhật ký dừng máy'!$C$6:$C$1005,$C417,'3 Nhật ký dừng máy'!$K$6:$K$1005,"Ngoài kế hoạch"))</f>
        <v/>
      </c>
      <c r="S417" s="31" t="str">
        <f t="shared" si="70"/>
        <v/>
      </c>
      <c r="T417" s="31" t="str">
        <f t="shared" si="71"/>
        <v/>
      </c>
      <c r="U417" s="31" t="str">
        <f t="shared" si="72"/>
        <v/>
      </c>
      <c r="V417" s="32" t="str">
        <f t="shared" si="73"/>
        <v/>
      </c>
      <c r="W417" s="30" t="str">
        <f t="shared" si="74"/>
        <v/>
      </c>
      <c r="X417" s="33" t="str">
        <f t="shared" si="75"/>
        <v/>
      </c>
      <c r="Y417" s="34" t="str">
        <f t="shared" si="76"/>
        <v/>
      </c>
    </row>
    <row r="418" spans="1:25" x14ac:dyDescent="0.2">
      <c r="A418" s="35"/>
      <c r="B418" s="21"/>
      <c r="C418" s="18"/>
      <c r="D418" s="21"/>
      <c r="E418" s="21"/>
      <c r="F418" s="21"/>
      <c r="G418" s="36"/>
      <c r="H418" s="36"/>
      <c r="I418" s="36"/>
      <c r="J418" s="37"/>
      <c r="K418" s="18"/>
      <c r="L418" s="28" t="str">
        <f t="shared" si="66"/>
        <v/>
      </c>
      <c r="M418" s="29" t="str">
        <f t="shared" si="67"/>
        <v/>
      </c>
      <c r="N418" s="29" t="str">
        <f t="shared" si="68"/>
        <v/>
      </c>
      <c r="O418" s="30" t="str">
        <f t="shared" si="69"/>
        <v/>
      </c>
      <c r="P418" s="28" t="str">
        <f>IF($C418="","",IFERROR(INDEX(CA_TG,MATCH(B418,DS_CA,0))-INDEX(CA_NGHI,MATCH(B418,DS_CA,0))-SUMIFS('3 Nhật ký dừng máy'!$I$6:$I$1005,'3 Nhật ký dừng máy'!$A$6:$A$1005,$A418,'3 Nhật ký dừng máy'!$B$6:$B$1005,$B418,'3 Nhật ký dừng máy'!$C$6:$C$1005,$C418,'3 Nhật ký dừng máy'!$K$6:$K$1005,"Có kế hoạch"),"?"))</f>
        <v/>
      </c>
      <c r="Q418" s="28" t="str">
        <f>IF($C418="","",SUMIFS('3 Nhật ký dừng máy'!$I$6:$I$1005,'3 Nhật ký dừng máy'!$A$6:$A$1005,$A418,'3 Nhật ký dừng máy'!$B$6:$B$1005,$B418,'3 Nhật ký dừng máy'!$C$6:$C$1005,$C418,'3 Nhật ký dừng máy'!$K$6:$K$1005,"Ngoài kế hoạch"))</f>
        <v/>
      </c>
      <c r="R418" s="30" t="str">
        <f>IF($C418="","",COUNTIFS('3 Nhật ký dừng máy'!$A$6:$A$1005,$A418,'3 Nhật ký dừng máy'!$B$6:$B$1005,$B418,'3 Nhật ký dừng máy'!$C$6:$C$1005,$C418,'3 Nhật ký dừng máy'!$K$6:$K$1005,"Ngoài kế hoạch"))</f>
        <v/>
      </c>
      <c r="S418" s="31" t="str">
        <f t="shared" si="70"/>
        <v/>
      </c>
      <c r="T418" s="31" t="str">
        <f t="shared" si="71"/>
        <v/>
      </c>
      <c r="U418" s="31" t="str">
        <f t="shared" si="72"/>
        <v/>
      </c>
      <c r="V418" s="32" t="str">
        <f t="shared" si="73"/>
        <v/>
      </c>
      <c r="W418" s="30" t="str">
        <f t="shared" si="74"/>
        <v/>
      </c>
      <c r="X418" s="33" t="str">
        <f t="shared" si="75"/>
        <v/>
      </c>
      <c r="Y418" s="34" t="str">
        <f t="shared" si="76"/>
        <v/>
      </c>
    </row>
    <row r="419" spans="1:25" x14ac:dyDescent="0.2">
      <c r="A419" s="35"/>
      <c r="B419" s="21"/>
      <c r="C419" s="18"/>
      <c r="D419" s="21"/>
      <c r="E419" s="21"/>
      <c r="F419" s="21"/>
      <c r="G419" s="36"/>
      <c r="H419" s="36"/>
      <c r="I419" s="36"/>
      <c r="J419" s="37"/>
      <c r="K419" s="18"/>
      <c r="L419" s="28" t="str">
        <f t="shared" si="66"/>
        <v/>
      </c>
      <c r="M419" s="29" t="str">
        <f t="shared" si="67"/>
        <v/>
      </c>
      <c r="N419" s="29" t="str">
        <f t="shared" si="68"/>
        <v/>
      </c>
      <c r="O419" s="30" t="str">
        <f t="shared" si="69"/>
        <v/>
      </c>
      <c r="P419" s="28" t="str">
        <f>IF($C419="","",IFERROR(INDEX(CA_TG,MATCH(B419,DS_CA,0))-INDEX(CA_NGHI,MATCH(B419,DS_CA,0))-SUMIFS('3 Nhật ký dừng máy'!$I$6:$I$1005,'3 Nhật ký dừng máy'!$A$6:$A$1005,$A419,'3 Nhật ký dừng máy'!$B$6:$B$1005,$B419,'3 Nhật ký dừng máy'!$C$6:$C$1005,$C419,'3 Nhật ký dừng máy'!$K$6:$K$1005,"Có kế hoạch"),"?"))</f>
        <v/>
      </c>
      <c r="Q419" s="28" t="str">
        <f>IF($C419="","",SUMIFS('3 Nhật ký dừng máy'!$I$6:$I$1005,'3 Nhật ký dừng máy'!$A$6:$A$1005,$A419,'3 Nhật ký dừng máy'!$B$6:$B$1005,$B419,'3 Nhật ký dừng máy'!$C$6:$C$1005,$C419,'3 Nhật ký dừng máy'!$K$6:$K$1005,"Ngoài kế hoạch"))</f>
        <v/>
      </c>
      <c r="R419" s="30" t="str">
        <f>IF($C419="","",COUNTIFS('3 Nhật ký dừng máy'!$A$6:$A$1005,$A419,'3 Nhật ký dừng máy'!$B$6:$B$1005,$B419,'3 Nhật ký dừng máy'!$C$6:$C$1005,$C419,'3 Nhật ký dừng máy'!$K$6:$K$1005,"Ngoài kế hoạch"))</f>
        <v/>
      </c>
      <c r="S419" s="31" t="str">
        <f t="shared" si="70"/>
        <v/>
      </c>
      <c r="T419" s="31" t="str">
        <f t="shared" si="71"/>
        <v/>
      </c>
      <c r="U419" s="31" t="str">
        <f t="shared" si="72"/>
        <v/>
      </c>
      <c r="V419" s="32" t="str">
        <f t="shared" si="73"/>
        <v/>
      </c>
      <c r="W419" s="30" t="str">
        <f t="shared" si="74"/>
        <v/>
      </c>
      <c r="X419" s="33" t="str">
        <f t="shared" si="75"/>
        <v/>
      </c>
      <c r="Y419" s="34" t="str">
        <f t="shared" si="76"/>
        <v/>
      </c>
    </row>
    <row r="420" spans="1:25" x14ac:dyDescent="0.2">
      <c r="A420" s="35"/>
      <c r="B420" s="21"/>
      <c r="C420" s="18"/>
      <c r="D420" s="21"/>
      <c r="E420" s="21"/>
      <c r="F420" s="21"/>
      <c r="G420" s="36"/>
      <c r="H420" s="36"/>
      <c r="I420" s="36"/>
      <c r="J420" s="37"/>
      <c r="K420" s="18"/>
      <c r="L420" s="28" t="str">
        <f t="shared" si="66"/>
        <v/>
      </c>
      <c r="M420" s="29" t="str">
        <f t="shared" si="67"/>
        <v/>
      </c>
      <c r="N420" s="29" t="str">
        <f t="shared" si="68"/>
        <v/>
      </c>
      <c r="O420" s="30" t="str">
        <f t="shared" si="69"/>
        <v/>
      </c>
      <c r="P420" s="28" t="str">
        <f>IF($C420="","",IFERROR(INDEX(CA_TG,MATCH(B420,DS_CA,0))-INDEX(CA_NGHI,MATCH(B420,DS_CA,0))-SUMIFS('3 Nhật ký dừng máy'!$I$6:$I$1005,'3 Nhật ký dừng máy'!$A$6:$A$1005,$A420,'3 Nhật ký dừng máy'!$B$6:$B$1005,$B420,'3 Nhật ký dừng máy'!$C$6:$C$1005,$C420,'3 Nhật ký dừng máy'!$K$6:$K$1005,"Có kế hoạch"),"?"))</f>
        <v/>
      </c>
      <c r="Q420" s="28" t="str">
        <f>IF($C420="","",SUMIFS('3 Nhật ký dừng máy'!$I$6:$I$1005,'3 Nhật ký dừng máy'!$A$6:$A$1005,$A420,'3 Nhật ký dừng máy'!$B$6:$B$1005,$B420,'3 Nhật ký dừng máy'!$C$6:$C$1005,$C420,'3 Nhật ký dừng máy'!$K$6:$K$1005,"Ngoài kế hoạch"))</f>
        <v/>
      </c>
      <c r="R420" s="30" t="str">
        <f>IF($C420="","",COUNTIFS('3 Nhật ký dừng máy'!$A$6:$A$1005,$A420,'3 Nhật ký dừng máy'!$B$6:$B$1005,$B420,'3 Nhật ký dừng máy'!$C$6:$C$1005,$C420,'3 Nhật ký dừng máy'!$K$6:$K$1005,"Ngoài kế hoạch"))</f>
        <v/>
      </c>
      <c r="S420" s="31" t="str">
        <f t="shared" si="70"/>
        <v/>
      </c>
      <c r="T420" s="31" t="str">
        <f t="shared" si="71"/>
        <v/>
      </c>
      <c r="U420" s="31" t="str">
        <f t="shared" si="72"/>
        <v/>
      </c>
      <c r="V420" s="32" t="str">
        <f t="shared" si="73"/>
        <v/>
      </c>
      <c r="W420" s="30" t="str">
        <f t="shared" si="74"/>
        <v/>
      </c>
      <c r="X420" s="33" t="str">
        <f t="shared" si="75"/>
        <v/>
      </c>
      <c r="Y420" s="34" t="str">
        <f t="shared" si="76"/>
        <v/>
      </c>
    </row>
    <row r="421" spans="1:25" x14ac:dyDescent="0.2">
      <c r="A421" s="35"/>
      <c r="B421" s="21"/>
      <c r="C421" s="18"/>
      <c r="D421" s="21"/>
      <c r="E421" s="21"/>
      <c r="F421" s="21"/>
      <c r="G421" s="36"/>
      <c r="H421" s="36"/>
      <c r="I421" s="36"/>
      <c r="J421" s="37"/>
      <c r="K421" s="18"/>
      <c r="L421" s="28" t="str">
        <f t="shared" si="66"/>
        <v/>
      </c>
      <c r="M421" s="29" t="str">
        <f t="shared" si="67"/>
        <v/>
      </c>
      <c r="N421" s="29" t="str">
        <f t="shared" si="68"/>
        <v/>
      </c>
      <c r="O421" s="30" t="str">
        <f t="shared" si="69"/>
        <v/>
      </c>
      <c r="P421" s="28" t="str">
        <f>IF($C421="","",IFERROR(INDEX(CA_TG,MATCH(B421,DS_CA,0))-INDEX(CA_NGHI,MATCH(B421,DS_CA,0))-SUMIFS('3 Nhật ký dừng máy'!$I$6:$I$1005,'3 Nhật ký dừng máy'!$A$6:$A$1005,$A421,'3 Nhật ký dừng máy'!$B$6:$B$1005,$B421,'3 Nhật ký dừng máy'!$C$6:$C$1005,$C421,'3 Nhật ký dừng máy'!$K$6:$K$1005,"Có kế hoạch"),"?"))</f>
        <v/>
      </c>
      <c r="Q421" s="28" t="str">
        <f>IF($C421="","",SUMIFS('3 Nhật ký dừng máy'!$I$6:$I$1005,'3 Nhật ký dừng máy'!$A$6:$A$1005,$A421,'3 Nhật ký dừng máy'!$B$6:$B$1005,$B421,'3 Nhật ký dừng máy'!$C$6:$C$1005,$C421,'3 Nhật ký dừng máy'!$K$6:$K$1005,"Ngoài kế hoạch"))</f>
        <v/>
      </c>
      <c r="R421" s="30" t="str">
        <f>IF($C421="","",COUNTIFS('3 Nhật ký dừng máy'!$A$6:$A$1005,$A421,'3 Nhật ký dừng máy'!$B$6:$B$1005,$B421,'3 Nhật ký dừng máy'!$C$6:$C$1005,$C421,'3 Nhật ký dừng máy'!$K$6:$K$1005,"Ngoài kế hoạch"))</f>
        <v/>
      </c>
      <c r="S421" s="31" t="str">
        <f t="shared" si="70"/>
        <v/>
      </c>
      <c r="T421" s="31" t="str">
        <f t="shared" si="71"/>
        <v/>
      </c>
      <c r="U421" s="31" t="str">
        <f t="shared" si="72"/>
        <v/>
      </c>
      <c r="V421" s="32" t="str">
        <f t="shared" si="73"/>
        <v/>
      </c>
      <c r="W421" s="30" t="str">
        <f t="shared" si="74"/>
        <v/>
      </c>
      <c r="X421" s="33" t="str">
        <f t="shared" si="75"/>
        <v/>
      </c>
      <c r="Y421" s="34" t="str">
        <f t="shared" si="76"/>
        <v/>
      </c>
    </row>
    <row r="422" spans="1:25" x14ac:dyDescent="0.2">
      <c r="A422" s="35"/>
      <c r="B422" s="21"/>
      <c r="C422" s="18"/>
      <c r="D422" s="21"/>
      <c r="E422" s="21"/>
      <c r="F422" s="21"/>
      <c r="G422" s="36"/>
      <c r="H422" s="36"/>
      <c r="I422" s="36"/>
      <c r="J422" s="37"/>
      <c r="K422" s="18"/>
      <c r="L422" s="28" t="str">
        <f t="shared" si="66"/>
        <v/>
      </c>
      <c r="M422" s="29" t="str">
        <f t="shared" si="67"/>
        <v/>
      </c>
      <c r="N422" s="29" t="str">
        <f t="shared" si="68"/>
        <v/>
      </c>
      <c r="O422" s="30" t="str">
        <f t="shared" si="69"/>
        <v/>
      </c>
      <c r="P422" s="28" t="str">
        <f>IF($C422="","",IFERROR(INDEX(CA_TG,MATCH(B422,DS_CA,0))-INDEX(CA_NGHI,MATCH(B422,DS_CA,0))-SUMIFS('3 Nhật ký dừng máy'!$I$6:$I$1005,'3 Nhật ký dừng máy'!$A$6:$A$1005,$A422,'3 Nhật ký dừng máy'!$B$6:$B$1005,$B422,'3 Nhật ký dừng máy'!$C$6:$C$1005,$C422,'3 Nhật ký dừng máy'!$K$6:$K$1005,"Có kế hoạch"),"?"))</f>
        <v/>
      </c>
      <c r="Q422" s="28" t="str">
        <f>IF($C422="","",SUMIFS('3 Nhật ký dừng máy'!$I$6:$I$1005,'3 Nhật ký dừng máy'!$A$6:$A$1005,$A422,'3 Nhật ký dừng máy'!$B$6:$B$1005,$B422,'3 Nhật ký dừng máy'!$C$6:$C$1005,$C422,'3 Nhật ký dừng máy'!$K$6:$K$1005,"Ngoài kế hoạch"))</f>
        <v/>
      </c>
      <c r="R422" s="30" t="str">
        <f>IF($C422="","",COUNTIFS('3 Nhật ký dừng máy'!$A$6:$A$1005,$A422,'3 Nhật ký dừng máy'!$B$6:$B$1005,$B422,'3 Nhật ký dừng máy'!$C$6:$C$1005,$C422,'3 Nhật ký dừng máy'!$K$6:$K$1005,"Ngoài kế hoạch"))</f>
        <v/>
      </c>
      <c r="S422" s="31" t="str">
        <f t="shared" si="70"/>
        <v/>
      </c>
      <c r="T422" s="31" t="str">
        <f t="shared" si="71"/>
        <v/>
      </c>
      <c r="U422" s="31" t="str">
        <f t="shared" si="72"/>
        <v/>
      </c>
      <c r="V422" s="32" t="str">
        <f t="shared" si="73"/>
        <v/>
      </c>
      <c r="W422" s="30" t="str">
        <f t="shared" si="74"/>
        <v/>
      </c>
      <c r="X422" s="33" t="str">
        <f t="shared" si="75"/>
        <v/>
      </c>
      <c r="Y422" s="34" t="str">
        <f t="shared" si="76"/>
        <v/>
      </c>
    </row>
    <row r="423" spans="1:25" x14ac:dyDescent="0.2">
      <c r="A423" s="35"/>
      <c r="B423" s="21"/>
      <c r="C423" s="18"/>
      <c r="D423" s="21"/>
      <c r="E423" s="21"/>
      <c r="F423" s="21"/>
      <c r="G423" s="36"/>
      <c r="H423" s="36"/>
      <c r="I423" s="36"/>
      <c r="J423" s="37"/>
      <c r="K423" s="18"/>
      <c r="L423" s="28" t="str">
        <f t="shared" si="66"/>
        <v/>
      </c>
      <c r="M423" s="29" t="str">
        <f t="shared" si="67"/>
        <v/>
      </c>
      <c r="N423" s="29" t="str">
        <f t="shared" si="68"/>
        <v/>
      </c>
      <c r="O423" s="30" t="str">
        <f t="shared" si="69"/>
        <v/>
      </c>
      <c r="P423" s="28" t="str">
        <f>IF($C423="","",IFERROR(INDEX(CA_TG,MATCH(B423,DS_CA,0))-INDEX(CA_NGHI,MATCH(B423,DS_CA,0))-SUMIFS('3 Nhật ký dừng máy'!$I$6:$I$1005,'3 Nhật ký dừng máy'!$A$6:$A$1005,$A423,'3 Nhật ký dừng máy'!$B$6:$B$1005,$B423,'3 Nhật ký dừng máy'!$C$6:$C$1005,$C423,'3 Nhật ký dừng máy'!$K$6:$K$1005,"Có kế hoạch"),"?"))</f>
        <v/>
      </c>
      <c r="Q423" s="28" t="str">
        <f>IF($C423="","",SUMIFS('3 Nhật ký dừng máy'!$I$6:$I$1005,'3 Nhật ký dừng máy'!$A$6:$A$1005,$A423,'3 Nhật ký dừng máy'!$B$6:$B$1005,$B423,'3 Nhật ký dừng máy'!$C$6:$C$1005,$C423,'3 Nhật ký dừng máy'!$K$6:$K$1005,"Ngoài kế hoạch"))</f>
        <v/>
      </c>
      <c r="R423" s="30" t="str">
        <f>IF($C423="","",COUNTIFS('3 Nhật ký dừng máy'!$A$6:$A$1005,$A423,'3 Nhật ký dừng máy'!$B$6:$B$1005,$B423,'3 Nhật ký dừng máy'!$C$6:$C$1005,$C423,'3 Nhật ký dừng máy'!$K$6:$K$1005,"Ngoài kế hoạch"))</f>
        <v/>
      </c>
      <c r="S423" s="31" t="str">
        <f t="shared" si="70"/>
        <v/>
      </c>
      <c r="T423" s="31" t="str">
        <f t="shared" si="71"/>
        <v/>
      </c>
      <c r="U423" s="31" t="str">
        <f t="shared" si="72"/>
        <v/>
      </c>
      <c r="V423" s="32" t="str">
        <f t="shared" si="73"/>
        <v/>
      </c>
      <c r="W423" s="30" t="str">
        <f t="shared" si="74"/>
        <v/>
      </c>
      <c r="X423" s="33" t="str">
        <f t="shared" si="75"/>
        <v/>
      </c>
      <c r="Y423" s="34" t="str">
        <f t="shared" si="76"/>
        <v/>
      </c>
    </row>
    <row r="424" spans="1:25" x14ac:dyDescent="0.2">
      <c r="A424" s="35"/>
      <c r="B424" s="21"/>
      <c r="C424" s="18"/>
      <c r="D424" s="21"/>
      <c r="E424" s="21"/>
      <c r="F424" s="21"/>
      <c r="G424" s="36"/>
      <c r="H424" s="36"/>
      <c r="I424" s="36"/>
      <c r="J424" s="37"/>
      <c r="K424" s="18"/>
      <c r="L424" s="28" t="str">
        <f t="shared" si="66"/>
        <v/>
      </c>
      <c r="M424" s="29" t="str">
        <f t="shared" si="67"/>
        <v/>
      </c>
      <c r="N424" s="29" t="str">
        <f t="shared" si="68"/>
        <v/>
      </c>
      <c r="O424" s="30" t="str">
        <f t="shared" si="69"/>
        <v/>
      </c>
      <c r="P424" s="28" t="str">
        <f>IF($C424="","",IFERROR(INDEX(CA_TG,MATCH(B424,DS_CA,0))-INDEX(CA_NGHI,MATCH(B424,DS_CA,0))-SUMIFS('3 Nhật ký dừng máy'!$I$6:$I$1005,'3 Nhật ký dừng máy'!$A$6:$A$1005,$A424,'3 Nhật ký dừng máy'!$B$6:$B$1005,$B424,'3 Nhật ký dừng máy'!$C$6:$C$1005,$C424,'3 Nhật ký dừng máy'!$K$6:$K$1005,"Có kế hoạch"),"?"))</f>
        <v/>
      </c>
      <c r="Q424" s="28" t="str">
        <f>IF($C424="","",SUMIFS('3 Nhật ký dừng máy'!$I$6:$I$1005,'3 Nhật ký dừng máy'!$A$6:$A$1005,$A424,'3 Nhật ký dừng máy'!$B$6:$B$1005,$B424,'3 Nhật ký dừng máy'!$C$6:$C$1005,$C424,'3 Nhật ký dừng máy'!$K$6:$K$1005,"Ngoài kế hoạch"))</f>
        <v/>
      </c>
      <c r="R424" s="30" t="str">
        <f>IF($C424="","",COUNTIFS('3 Nhật ký dừng máy'!$A$6:$A$1005,$A424,'3 Nhật ký dừng máy'!$B$6:$B$1005,$B424,'3 Nhật ký dừng máy'!$C$6:$C$1005,$C424,'3 Nhật ký dừng máy'!$K$6:$K$1005,"Ngoài kế hoạch"))</f>
        <v/>
      </c>
      <c r="S424" s="31" t="str">
        <f t="shared" si="70"/>
        <v/>
      </c>
      <c r="T424" s="31" t="str">
        <f t="shared" si="71"/>
        <v/>
      </c>
      <c r="U424" s="31" t="str">
        <f t="shared" si="72"/>
        <v/>
      </c>
      <c r="V424" s="32" t="str">
        <f t="shared" si="73"/>
        <v/>
      </c>
      <c r="W424" s="30" t="str">
        <f t="shared" si="74"/>
        <v/>
      </c>
      <c r="X424" s="33" t="str">
        <f t="shared" si="75"/>
        <v/>
      </c>
      <c r="Y424" s="34" t="str">
        <f t="shared" si="76"/>
        <v/>
      </c>
    </row>
    <row r="425" spans="1:25" x14ac:dyDescent="0.2">
      <c r="A425" s="35"/>
      <c r="B425" s="21"/>
      <c r="C425" s="18"/>
      <c r="D425" s="21"/>
      <c r="E425" s="21"/>
      <c r="F425" s="21"/>
      <c r="G425" s="36"/>
      <c r="H425" s="36"/>
      <c r="I425" s="36"/>
      <c r="J425" s="37"/>
      <c r="K425" s="18"/>
      <c r="L425" s="28" t="str">
        <f t="shared" si="66"/>
        <v/>
      </c>
      <c r="M425" s="29" t="str">
        <f t="shared" si="67"/>
        <v/>
      </c>
      <c r="N425" s="29" t="str">
        <f t="shared" si="68"/>
        <v/>
      </c>
      <c r="O425" s="30" t="str">
        <f t="shared" si="69"/>
        <v/>
      </c>
      <c r="P425" s="28" t="str">
        <f>IF($C425="","",IFERROR(INDEX(CA_TG,MATCH(B425,DS_CA,0))-INDEX(CA_NGHI,MATCH(B425,DS_CA,0))-SUMIFS('3 Nhật ký dừng máy'!$I$6:$I$1005,'3 Nhật ký dừng máy'!$A$6:$A$1005,$A425,'3 Nhật ký dừng máy'!$B$6:$B$1005,$B425,'3 Nhật ký dừng máy'!$C$6:$C$1005,$C425,'3 Nhật ký dừng máy'!$K$6:$K$1005,"Có kế hoạch"),"?"))</f>
        <v/>
      </c>
      <c r="Q425" s="28" t="str">
        <f>IF($C425="","",SUMIFS('3 Nhật ký dừng máy'!$I$6:$I$1005,'3 Nhật ký dừng máy'!$A$6:$A$1005,$A425,'3 Nhật ký dừng máy'!$B$6:$B$1005,$B425,'3 Nhật ký dừng máy'!$C$6:$C$1005,$C425,'3 Nhật ký dừng máy'!$K$6:$K$1005,"Ngoài kế hoạch"))</f>
        <v/>
      </c>
      <c r="R425" s="30" t="str">
        <f>IF($C425="","",COUNTIFS('3 Nhật ký dừng máy'!$A$6:$A$1005,$A425,'3 Nhật ký dừng máy'!$B$6:$B$1005,$B425,'3 Nhật ký dừng máy'!$C$6:$C$1005,$C425,'3 Nhật ký dừng máy'!$K$6:$K$1005,"Ngoài kế hoạch"))</f>
        <v/>
      </c>
      <c r="S425" s="31" t="str">
        <f t="shared" si="70"/>
        <v/>
      </c>
      <c r="T425" s="31" t="str">
        <f t="shared" si="71"/>
        <v/>
      </c>
      <c r="U425" s="31" t="str">
        <f t="shared" si="72"/>
        <v/>
      </c>
      <c r="V425" s="32" t="str">
        <f t="shared" si="73"/>
        <v/>
      </c>
      <c r="W425" s="30" t="str">
        <f t="shared" si="74"/>
        <v/>
      </c>
      <c r="X425" s="33" t="str">
        <f t="shared" si="75"/>
        <v/>
      </c>
      <c r="Y425" s="34" t="str">
        <f t="shared" si="76"/>
        <v/>
      </c>
    </row>
    <row r="426" spans="1:25" x14ac:dyDescent="0.2">
      <c r="A426" s="35"/>
      <c r="B426" s="21"/>
      <c r="C426" s="18"/>
      <c r="D426" s="21"/>
      <c r="E426" s="21"/>
      <c r="F426" s="21"/>
      <c r="G426" s="36"/>
      <c r="H426" s="36"/>
      <c r="I426" s="36"/>
      <c r="J426" s="37"/>
      <c r="K426" s="18"/>
      <c r="L426" s="28" t="str">
        <f t="shared" si="66"/>
        <v/>
      </c>
      <c r="M426" s="29" t="str">
        <f t="shared" si="67"/>
        <v/>
      </c>
      <c r="N426" s="29" t="str">
        <f t="shared" si="68"/>
        <v/>
      </c>
      <c r="O426" s="30" t="str">
        <f t="shared" si="69"/>
        <v/>
      </c>
      <c r="P426" s="28" t="str">
        <f>IF($C426="","",IFERROR(INDEX(CA_TG,MATCH(B426,DS_CA,0))-INDEX(CA_NGHI,MATCH(B426,DS_CA,0))-SUMIFS('3 Nhật ký dừng máy'!$I$6:$I$1005,'3 Nhật ký dừng máy'!$A$6:$A$1005,$A426,'3 Nhật ký dừng máy'!$B$6:$B$1005,$B426,'3 Nhật ký dừng máy'!$C$6:$C$1005,$C426,'3 Nhật ký dừng máy'!$K$6:$K$1005,"Có kế hoạch"),"?"))</f>
        <v/>
      </c>
      <c r="Q426" s="28" t="str">
        <f>IF($C426="","",SUMIFS('3 Nhật ký dừng máy'!$I$6:$I$1005,'3 Nhật ký dừng máy'!$A$6:$A$1005,$A426,'3 Nhật ký dừng máy'!$B$6:$B$1005,$B426,'3 Nhật ký dừng máy'!$C$6:$C$1005,$C426,'3 Nhật ký dừng máy'!$K$6:$K$1005,"Ngoài kế hoạch"))</f>
        <v/>
      </c>
      <c r="R426" s="30" t="str">
        <f>IF($C426="","",COUNTIFS('3 Nhật ký dừng máy'!$A$6:$A$1005,$A426,'3 Nhật ký dừng máy'!$B$6:$B$1005,$B426,'3 Nhật ký dừng máy'!$C$6:$C$1005,$C426,'3 Nhật ký dừng máy'!$K$6:$K$1005,"Ngoài kế hoạch"))</f>
        <v/>
      </c>
      <c r="S426" s="31" t="str">
        <f t="shared" si="70"/>
        <v/>
      </c>
      <c r="T426" s="31" t="str">
        <f t="shared" si="71"/>
        <v/>
      </c>
      <c r="U426" s="31" t="str">
        <f t="shared" si="72"/>
        <v/>
      </c>
      <c r="V426" s="32" t="str">
        <f t="shared" si="73"/>
        <v/>
      </c>
      <c r="W426" s="30" t="str">
        <f t="shared" si="74"/>
        <v/>
      </c>
      <c r="X426" s="33" t="str">
        <f t="shared" si="75"/>
        <v/>
      </c>
      <c r="Y426" s="34" t="str">
        <f t="shared" si="76"/>
        <v/>
      </c>
    </row>
    <row r="427" spans="1:25" x14ac:dyDescent="0.2">
      <c r="A427" s="35"/>
      <c r="B427" s="21"/>
      <c r="C427" s="18"/>
      <c r="D427" s="21"/>
      <c r="E427" s="21"/>
      <c r="F427" s="21"/>
      <c r="G427" s="36"/>
      <c r="H427" s="36"/>
      <c r="I427" s="36"/>
      <c r="J427" s="37"/>
      <c r="K427" s="18"/>
      <c r="L427" s="28" t="str">
        <f t="shared" si="66"/>
        <v/>
      </c>
      <c r="M427" s="29" t="str">
        <f t="shared" si="67"/>
        <v/>
      </c>
      <c r="N427" s="29" t="str">
        <f t="shared" si="68"/>
        <v/>
      </c>
      <c r="O427" s="30" t="str">
        <f t="shared" si="69"/>
        <v/>
      </c>
      <c r="P427" s="28" t="str">
        <f>IF($C427="","",IFERROR(INDEX(CA_TG,MATCH(B427,DS_CA,0))-INDEX(CA_NGHI,MATCH(B427,DS_CA,0))-SUMIFS('3 Nhật ký dừng máy'!$I$6:$I$1005,'3 Nhật ký dừng máy'!$A$6:$A$1005,$A427,'3 Nhật ký dừng máy'!$B$6:$B$1005,$B427,'3 Nhật ký dừng máy'!$C$6:$C$1005,$C427,'3 Nhật ký dừng máy'!$K$6:$K$1005,"Có kế hoạch"),"?"))</f>
        <v/>
      </c>
      <c r="Q427" s="28" t="str">
        <f>IF($C427="","",SUMIFS('3 Nhật ký dừng máy'!$I$6:$I$1005,'3 Nhật ký dừng máy'!$A$6:$A$1005,$A427,'3 Nhật ký dừng máy'!$B$6:$B$1005,$B427,'3 Nhật ký dừng máy'!$C$6:$C$1005,$C427,'3 Nhật ký dừng máy'!$K$6:$K$1005,"Ngoài kế hoạch"))</f>
        <v/>
      </c>
      <c r="R427" s="30" t="str">
        <f>IF($C427="","",COUNTIFS('3 Nhật ký dừng máy'!$A$6:$A$1005,$A427,'3 Nhật ký dừng máy'!$B$6:$B$1005,$B427,'3 Nhật ký dừng máy'!$C$6:$C$1005,$C427,'3 Nhật ký dừng máy'!$K$6:$K$1005,"Ngoài kế hoạch"))</f>
        <v/>
      </c>
      <c r="S427" s="31" t="str">
        <f t="shared" si="70"/>
        <v/>
      </c>
      <c r="T427" s="31" t="str">
        <f t="shared" si="71"/>
        <v/>
      </c>
      <c r="U427" s="31" t="str">
        <f t="shared" si="72"/>
        <v/>
      </c>
      <c r="V427" s="32" t="str">
        <f t="shared" si="73"/>
        <v/>
      </c>
      <c r="W427" s="30" t="str">
        <f t="shared" si="74"/>
        <v/>
      </c>
      <c r="X427" s="33" t="str">
        <f t="shared" si="75"/>
        <v/>
      </c>
      <c r="Y427" s="34" t="str">
        <f t="shared" si="76"/>
        <v/>
      </c>
    </row>
    <row r="428" spans="1:25" x14ac:dyDescent="0.2">
      <c r="A428" s="35"/>
      <c r="B428" s="21"/>
      <c r="C428" s="18"/>
      <c r="D428" s="21"/>
      <c r="E428" s="21"/>
      <c r="F428" s="21"/>
      <c r="G428" s="36"/>
      <c r="H428" s="36"/>
      <c r="I428" s="36"/>
      <c r="J428" s="37"/>
      <c r="K428" s="18"/>
      <c r="L428" s="28" t="str">
        <f t="shared" si="66"/>
        <v/>
      </c>
      <c r="M428" s="29" t="str">
        <f t="shared" si="67"/>
        <v/>
      </c>
      <c r="N428" s="29" t="str">
        <f t="shared" si="68"/>
        <v/>
      </c>
      <c r="O428" s="30" t="str">
        <f t="shared" si="69"/>
        <v/>
      </c>
      <c r="P428" s="28" t="str">
        <f>IF($C428="","",IFERROR(INDEX(CA_TG,MATCH(B428,DS_CA,0))-INDEX(CA_NGHI,MATCH(B428,DS_CA,0))-SUMIFS('3 Nhật ký dừng máy'!$I$6:$I$1005,'3 Nhật ký dừng máy'!$A$6:$A$1005,$A428,'3 Nhật ký dừng máy'!$B$6:$B$1005,$B428,'3 Nhật ký dừng máy'!$C$6:$C$1005,$C428,'3 Nhật ký dừng máy'!$K$6:$K$1005,"Có kế hoạch"),"?"))</f>
        <v/>
      </c>
      <c r="Q428" s="28" t="str">
        <f>IF($C428="","",SUMIFS('3 Nhật ký dừng máy'!$I$6:$I$1005,'3 Nhật ký dừng máy'!$A$6:$A$1005,$A428,'3 Nhật ký dừng máy'!$B$6:$B$1005,$B428,'3 Nhật ký dừng máy'!$C$6:$C$1005,$C428,'3 Nhật ký dừng máy'!$K$6:$K$1005,"Ngoài kế hoạch"))</f>
        <v/>
      </c>
      <c r="R428" s="30" t="str">
        <f>IF($C428="","",COUNTIFS('3 Nhật ký dừng máy'!$A$6:$A$1005,$A428,'3 Nhật ký dừng máy'!$B$6:$B$1005,$B428,'3 Nhật ký dừng máy'!$C$6:$C$1005,$C428,'3 Nhật ký dừng máy'!$K$6:$K$1005,"Ngoài kế hoạch"))</f>
        <v/>
      </c>
      <c r="S428" s="31" t="str">
        <f t="shared" si="70"/>
        <v/>
      </c>
      <c r="T428" s="31" t="str">
        <f t="shared" si="71"/>
        <v/>
      </c>
      <c r="U428" s="31" t="str">
        <f t="shared" si="72"/>
        <v/>
      </c>
      <c r="V428" s="32" t="str">
        <f t="shared" si="73"/>
        <v/>
      </c>
      <c r="W428" s="30" t="str">
        <f t="shared" si="74"/>
        <v/>
      </c>
      <c r="X428" s="33" t="str">
        <f t="shared" si="75"/>
        <v/>
      </c>
      <c r="Y428" s="34" t="str">
        <f t="shared" si="76"/>
        <v/>
      </c>
    </row>
    <row r="429" spans="1:25" x14ac:dyDescent="0.2">
      <c r="A429" s="35"/>
      <c r="B429" s="21"/>
      <c r="C429" s="18"/>
      <c r="D429" s="21"/>
      <c r="E429" s="21"/>
      <c r="F429" s="21"/>
      <c r="G429" s="36"/>
      <c r="H429" s="36"/>
      <c r="I429" s="36"/>
      <c r="J429" s="37"/>
      <c r="K429" s="18"/>
      <c r="L429" s="28" t="str">
        <f t="shared" si="66"/>
        <v/>
      </c>
      <c r="M429" s="29" t="str">
        <f t="shared" si="67"/>
        <v/>
      </c>
      <c r="N429" s="29" t="str">
        <f t="shared" si="68"/>
        <v/>
      </c>
      <c r="O429" s="30" t="str">
        <f t="shared" si="69"/>
        <v/>
      </c>
      <c r="P429" s="28" t="str">
        <f>IF($C429="","",IFERROR(INDEX(CA_TG,MATCH(B429,DS_CA,0))-INDEX(CA_NGHI,MATCH(B429,DS_CA,0))-SUMIFS('3 Nhật ký dừng máy'!$I$6:$I$1005,'3 Nhật ký dừng máy'!$A$6:$A$1005,$A429,'3 Nhật ký dừng máy'!$B$6:$B$1005,$B429,'3 Nhật ký dừng máy'!$C$6:$C$1005,$C429,'3 Nhật ký dừng máy'!$K$6:$K$1005,"Có kế hoạch"),"?"))</f>
        <v/>
      </c>
      <c r="Q429" s="28" t="str">
        <f>IF($C429="","",SUMIFS('3 Nhật ký dừng máy'!$I$6:$I$1005,'3 Nhật ký dừng máy'!$A$6:$A$1005,$A429,'3 Nhật ký dừng máy'!$B$6:$B$1005,$B429,'3 Nhật ký dừng máy'!$C$6:$C$1005,$C429,'3 Nhật ký dừng máy'!$K$6:$K$1005,"Ngoài kế hoạch"))</f>
        <v/>
      </c>
      <c r="R429" s="30" t="str">
        <f>IF($C429="","",COUNTIFS('3 Nhật ký dừng máy'!$A$6:$A$1005,$A429,'3 Nhật ký dừng máy'!$B$6:$B$1005,$B429,'3 Nhật ký dừng máy'!$C$6:$C$1005,$C429,'3 Nhật ký dừng máy'!$K$6:$K$1005,"Ngoài kế hoạch"))</f>
        <v/>
      </c>
      <c r="S429" s="31" t="str">
        <f t="shared" si="70"/>
        <v/>
      </c>
      <c r="T429" s="31" t="str">
        <f t="shared" si="71"/>
        <v/>
      </c>
      <c r="U429" s="31" t="str">
        <f t="shared" si="72"/>
        <v/>
      </c>
      <c r="V429" s="32" t="str">
        <f t="shared" si="73"/>
        <v/>
      </c>
      <c r="W429" s="30" t="str">
        <f t="shared" si="74"/>
        <v/>
      </c>
      <c r="X429" s="33" t="str">
        <f t="shared" si="75"/>
        <v/>
      </c>
      <c r="Y429" s="34" t="str">
        <f t="shared" si="76"/>
        <v/>
      </c>
    </row>
    <row r="430" spans="1:25" x14ac:dyDescent="0.2">
      <c r="A430" s="35"/>
      <c r="B430" s="21"/>
      <c r="C430" s="18"/>
      <c r="D430" s="21"/>
      <c r="E430" s="21"/>
      <c r="F430" s="21"/>
      <c r="G430" s="36"/>
      <c r="H430" s="36"/>
      <c r="I430" s="36"/>
      <c r="J430" s="37"/>
      <c r="K430" s="18"/>
      <c r="L430" s="28" t="str">
        <f t="shared" si="66"/>
        <v/>
      </c>
      <c r="M430" s="29" t="str">
        <f t="shared" si="67"/>
        <v/>
      </c>
      <c r="N430" s="29" t="str">
        <f t="shared" si="68"/>
        <v/>
      </c>
      <c r="O430" s="30" t="str">
        <f t="shared" si="69"/>
        <v/>
      </c>
      <c r="P430" s="28" t="str">
        <f>IF($C430="","",IFERROR(INDEX(CA_TG,MATCH(B430,DS_CA,0))-INDEX(CA_NGHI,MATCH(B430,DS_CA,0))-SUMIFS('3 Nhật ký dừng máy'!$I$6:$I$1005,'3 Nhật ký dừng máy'!$A$6:$A$1005,$A430,'3 Nhật ký dừng máy'!$B$6:$B$1005,$B430,'3 Nhật ký dừng máy'!$C$6:$C$1005,$C430,'3 Nhật ký dừng máy'!$K$6:$K$1005,"Có kế hoạch"),"?"))</f>
        <v/>
      </c>
      <c r="Q430" s="28" t="str">
        <f>IF($C430="","",SUMIFS('3 Nhật ký dừng máy'!$I$6:$I$1005,'3 Nhật ký dừng máy'!$A$6:$A$1005,$A430,'3 Nhật ký dừng máy'!$B$6:$B$1005,$B430,'3 Nhật ký dừng máy'!$C$6:$C$1005,$C430,'3 Nhật ký dừng máy'!$K$6:$K$1005,"Ngoài kế hoạch"))</f>
        <v/>
      </c>
      <c r="R430" s="30" t="str">
        <f>IF($C430="","",COUNTIFS('3 Nhật ký dừng máy'!$A$6:$A$1005,$A430,'3 Nhật ký dừng máy'!$B$6:$B$1005,$B430,'3 Nhật ký dừng máy'!$C$6:$C$1005,$C430,'3 Nhật ký dừng máy'!$K$6:$K$1005,"Ngoài kế hoạch"))</f>
        <v/>
      </c>
      <c r="S430" s="31" t="str">
        <f t="shared" si="70"/>
        <v/>
      </c>
      <c r="T430" s="31" t="str">
        <f t="shared" si="71"/>
        <v/>
      </c>
      <c r="U430" s="31" t="str">
        <f t="shared" si="72"/>
        <v/>
      </c>
      <c r="V430" s="32" t="str">
        <f t="shared" si="73"/>
        <v/>
      </c>
      <c r="W430" s="30" t="str">
        <f t="shared" si="74"/>
        <v/>
      </c>
      <c r="X430" s="33" t="str">
        <f t="shared" si="75"/>
        <v/>
      </c>
      <c r="Y430" s="34" t="str">
        <f t="shared" si="76"/>
        <v/>
      </c>
    </row>
    <row r="431" spans="1:25" x14ac:dyDescent="0.2">
      <c r="A431" s="35"/>
      <c r="B431" s="21"/>
      <c r="C431" s="18"/>
      <c r="D431" s="21"/>
      <c r="E431" s="21"/>
      <c r="F431" s="21"/>
      <c r="G431" s="36"/>
      <c r="H431" s="36"/>
      <c r="I431" s="36"/>
      <c r="J431" s="37"/>
      <c r="K431" s="18"/>
      <c r="L431" s="28" t="str">
        <f t="shared" si="66"/>
        <v/>
      </c>
      <c r="M431" s="29" t="str">
        <f t="shared" si="67"/>
        <v/>
      </c>
      <c r="N431" s="29" t="str">
        <f t="shared" si="68"/>
        <v/>
      </c>
      <c r="O431" s="30" t="str">
        <f t="shared" si="69"/>
        <v/>
      </c>
      <c r="P431" s="28" t="str">
        <f>IF($C431="","",IFERROR(INDEX(CA_TG,MATCH(B431,DS_CA,0))-INDEX(CA_NGHI,MATCH(B431,DS_CA,0))-SUMIFS('3 Nhật ký dừng máy'!$I$6:$I$1005,'3 Nhật ký dừng máy'!$A$6:$A$1005,$A431,'3 Nhật ký dừng máy'!$B$6:$B$1005,$B431,'3 Nhật ký dừng máy'!$C$6:$C$1005,$C431,'3 Nhật ký dừng máy'!$K$6:$K$1005,"Có kế hoạch"),"?"))</f>
        <v/>
      </c>
      <c r="Q431" s="28" t="str">
        <f>IF($C431="","",SUMIFS('3 Nhật ký dừng máy'!$I$6:$I$1005,'3 Nhật ký dừng máy'!$A$6:$A$1005,$A431,'3 Nhật ký dừng máy'!$B$6:$B$1005,$B431,'3 Nhật ký dừng máy'!$C$6:$C$1005,$C431,'3 Nhật ký dừng máy'!$K$6:$K$1005,"Ngoài kế hoạch"))</f>
        <v/>
      </c>
      <c r="R431" s="30" t="str">
        <f>IF($C431="","",COUNTIFS('3 Nhật ký dừng máy'!$A$6:$A$1005,$A431,'3 Nhật ký dừng máy'!$B$6:$B$1005,$B431,'3 Nhật ký dừng máy'!$C$6:$C$1005,$C431,'3 Nhật ký dừng máy'!$K$6:$K$1005,"Ngoài kế hoạch"))</f>
        <v/>
      </c>
      <c r="S431" s="31" t="str">
        <f t="shared" si="70"/>
        <v/>
      </c>
      <c r="T431" s="31" t="str">
        <f t="shared" si="71"/>
        <v/>
      </c>
      <c r="U431" s="31" t="str">
        <f t="shared" si="72"/>
        <v/>
      </c>
      <c r="V431" s="32" t="str">
        <f t="shared" si="73"/>
        <v/>
      </c>
      <c r="W431" s="30" t="str">
        <f t="shared" si="74"/>
        <v/>
      </c>
      <c r="X431" s="33" t="str">
        <f t="shared" si="75"/>
        <v/>
      </c>
      <c r="Y431" s="34" t="str">
        <f t="shared" si="76"/>
        <v/>
      </c>
    </row>
    <row r="432" spans="1:25" x14ac:dyDescent="0.2">
      <c r="A432" s="35"/>
      <c r="B432" s="21"/>
      <c r="C432" s="18"/>
      <c r="D432" s="21"/>
      <c r="E432" s="21"/>
      <c r="F432" s="21"/>
      <c r="G432" s="36"/>
      <c r="H432" s="36"/>
      <c r="I432" s="36"/>
      <c r="J432" s="37"/>
      <c r="K432" s="18"/>
      <c r="L432" s="28" t="str">
        <f t="shared" si="66"/>
        <v/>
      </c>
      <c r="M432" s="29" t="str">
        <f t="shared" si="67"/>
        <v/>
      </c>
      <c r="N432" s="29" t="str">
        <f t="shared" si="68"/>
        <v/>
      </c>
      <c r="O432" s="30" t="str">
        <f t="shared" si="69"/>
        <v/>
      </c>
      <c r="P432" s="28" t="str">
        <f>IF($C432="","",IFERROR(INDEX(CA_TG,MATCH(B432,DS_CA,0))-INDEX(CA_NGHI,MATCH(B432,DS_CA,0))-SUMIFS('3 Nhật ký dừng máy'!$I$6:$I$1005,'3 Nhật ký dừng máy'!$A$6:$A$1005,$A432,'3 Nhật ký dừng máy'!$B$6:$B$1005,$B432,'3 Nhật ký dừng máy'!$C$6:$C$1005,$C432,'3 Nhật ký dừng máy'!$K$6:$K$1005,"Có kế hoạch"),"?"))</f>
        <v/>
      </c>
      <c r="Q432" s="28" t="str">
        <f>IF($C432="","",SUMIFS('3 Nhật ký dừng máy'!$I$6:$I$1005,'3 Nhật ký dừng máy'!$A$6:$A$1005,$A432,'3 Nhật ký dừng máy'!$B$6:$B$1005,$B432,'3 Nhật ký dừng máy'!$C$6:$C$1005,$C432,'3 Nhật ký dừng máy'!$K$6:$K$1005,"Ngoài kế hoạch"))</f>
        <v/>
      </c>
      <c r="R432" s="30" t="str">
        <f>IF($C432="","",COUNTIFS('3 Nhật ký dừng máy'!$A$6:$A$1005,$A432,'3 Nhật ký dừng máy'!$B$6:$B$1005,$B432,'3 Nhật ký dừng máy'!$C$6:$C$1005,$C432,'3 Nhật ký dừng máy'!$K$6:$K$1005,"Ngoài kế hoạch"))</f>
        <v/>
      </c>
      <c r="S432" s="31" t="str">
        <f t="shared" si="70"/>
        <v/>
      </c>
      <c r="T432" s="31" t="str">
        <f t="shared" si="71"/>
        <v/>
      </c>
      <c r="U432" s="31" t="str">
        <f t="shared" si="72"/>
        <v/>
      </c>
      <c r="V432" s="32" t="str">
        <f t="shared" si="73"/>
        <v/>
      </c>
      <c r="W432" s="30" t="str">
        <f t="shared" si="74"/>
        <v/>
      </c>
      <c r="X432" s="33" t="str">
        <f t="shared" si="75"/>
        <v/>
      </c>
      <c r="Y432" s="34" t="str">
        <f t="shared" si="76"/>
        <v/>
      </c>
    </row>
    <row r="433" spans="1:25" x14ac:dyDescent="0.2">
      <c r="A433" s="35"/>
      <c r="B433" s="21"/>
      <c r="C433" s="18"/>
      <c r="D433" s="21"/>
      <c r="E433" s="21"/>
      <c r="F433" s="21"/>
      <c r="G433" s="36"/>
      <c r="H433" s="36"/>
      <c r="I433" s="36"/>
      <c r="J433" s="37"/>
      <c r="K433" s="18"/>
      <c r="L433" s="28" t="str">
        <f t="shared" si="66"/>
        <v/>
      </c>
      <c r="M433" s="29" t="str">
        <f t="shared" si="67"/>
        <v/>
      </c>
      <c r="N433" s="29" t="str">
        <f t="shared" si="68"/>
        <v/>
      </c>
      <c r="O433" s="30" t="str">
        <f t="shared" si="69"/>
        <v/>
      </c>
      <c r="P433" s="28" t="str">
        <f>IF($C433="","",IFERROR(INDEX(CA_TG,MATCH(B433,DS_CA,0))-INDEX(CA_NGHI,MATCH(B433,DS_CA,0))-SUMIFS('3 Nhật ký dừng máy'!$I$6:$I$1005,'3 Nhật ký dừng máy'!$A$6:$A$1005,$A433,'3 Nhật ký dừng máy'!$B$6:$B$1005,$B433,'3 Nhật ký dừng máy'!$C$6:$C$1005,$C433,'3 Nhật ký dừng máy'!$K$6:$K$1005,"Có kế hoạch"),"?"))</f>
        <v/>
      </c>
      <c r="Q433" s="28" t="str">
        <f>IF($C433="","",SUMIFS('3 Nhật ký dừng máy'!$I$6:$I$1005,'3 Nhật ký dừng máy'!$A$6:$A$1005,$A433,'3 Nhật ký dừng máy'!$B$6:$B$1005,$B433,'3 Nhật ký dừng máy'!$C$6:$C$1005,$C433,'3 Nhật ký dừng máy'!$K$6:$K$1005,"Ngoài kế hoạch"))</f>
        <v/>
      </c>
      <c r="R433" s="30" t="str">
        <f>IF($C433="","",COUNTIFS('3 Nhật ký dừng máy'!$A$6:$A$1005,$A433,'3 Nhật ký dừng máy'!$B$6:$B$1005,$B433,'3 Nhật ký dừng máy'!$C$6:$C$1005,$C433,'3 Nhật ký dừng máy'!$K$6:$K$1005,"Ngoài kế hoạch"))</f>
        <v/>
      </c>
      <c r="S433" s="31" t="str">
        <f t="shared" si="70"/>
        <v/>
      </c>
      <c r="T433" s="31" t="str">
        <f t="shared" si="71"/>
        <v/>
      </c>
      <c r="U433" s="31" t="str">
        <f t="shared" si="72"/>
        <v/>
      </c>
      <c r="V433" s="32" t="str">
        <f t="shared" si="73"/>
        <v/>
      </c>
      <c r="W433" s="30" t="str">
        <f t="shared" si="74"/>
        <v/>
      </c>
      <c r="X433" s="33" t="str">
        <f t="shared" si="75"/>
        <v/>
      </c>
      <c r="Y433" s="34" t="str">
        <f t="shared" si="76"/>
        <v/>
      </c>
    </row>
    <row r="434" spans="1:25" x14ac:dyDescent="0.2">
      <c r="A434" s="35"/>
      <c r="B434" s="21"/>
      <c r="C434" s="18"/>
      <c r="D434" s="21"/>
      <c r="E434" s="21"/>
      <c r="F434" s="21"/>
      <c r="G434" s="36"/>
      <c r="H434" s="36"/>
      <c r="I434" s="36"/>
      <c r="J434" s="37"/>
      <c r="K434" s="18"/>
      <c r="L434" s="28" t="str">
        <f t="shared" si="66"/>
        <v/>
      </c>
      <c r="M434" s="29" t="str">
        <f t="shared" si="67"/>
        <v/>
      </c>
      <c r="N434" s="29" t="str">
        <f t="shared" si="68"/>
        <v/>
      </c>
      <c r="O434" s="30" t="str">
        <f t="shared" si="69"/>
        <v/>
      </c>
      <c r="P434" s="28" t="str">
        <f>IF($C434="","",IFERROR(INDEX(CA_TG,MATCH(B434,DS_CA,0))-INDEX(CA_NGHI,MATCH(B434,DS_CA,0))-SUMIFS('3 Nhật ký dừng máy'!$I$6:$I$1005,'3 Nhật ký dừng máy'!$A$6:$A$1005,$A434,'3 Nhật ký dừng máy'!$B$6:$B$1005,$B434,'3 Nhật ký dừng máy'!$C$6:$C$1005,$C434,'3 Nhật ký dừng máy'!$K$6:$K$1005,"Có kế hoạch"),"?"))</f>
        <v/>
      </c>
      <c r="Q434" s="28" t="str">
        <f>IF($C434="","",SUMIFS('3 Nhật ký dừng máy'!$I$6:$I$1005,'3 Nhật ký dừng máy'!$A$6:$A$1005,$A434,'3 Nhật ký dừng máy'!$B$6:$B$1005,$B434,'3 Nhật ký dừng máy'!$C$6:$C$1005,$C434,'3 Nhật ký dừng máy'!$K$6:$K$1005,"Ngoài kế hoạch"))</f>
        <v/>
      </c>
      <c r="R434" s="30" t="str">
        <f>IF($C434="","",COUNTIFS('3 Nhật ký dừng máy'!$A$6:$A$1005,$A434,'3 Nhật ký dừng máy'!$B$6:$B$1005,$B434,'3 Nhật ký dừng máy'!$C$6:$C$1005,$C434,'3 Nhật ký dừng máy'!$K$6:$K$1005,"Ngoài kế hoạch"))</f>
        <v/>
      </c>
      <c r="S434" s="31" t="str">
        <f t="shared" si="70"/>
        <v/>
      </c>
      <c r="T434" s="31" t="str">
        <f t="shared" si="71"/>
        <v/>
      </c>
      <c r="U434" s="31" t="str">
        <f t="shared" si="72"/>
        <v/>
      </c>
      <c r="V434" s="32" t="str">
        <f t="shared" si="73"/>
        <v/>
      </c>
      <c r="W434" s="30" t="str">
        <f t="shared" si="74"/>
        <v/>
      </c>
      <c r="X434" s="33" t="str">
        <f t="shared" si="75"/>
        <v/>
      </c>
      <c r="Y434" s="34" t="str">
        <f t="shared" si="76"/>
        <v/>
      </c>
    </row>
    <row r="435" spans="1:25" x14ac:dyDescent="0.2">
      <c r="A435" s="35"/>
      <c r="B435" s="21"/>
      <c r="C435" s="18"/>
      <c r="D435" s="21"/>
      <c r="E435" s="21"/>
      <c r="F435" s="21"/>
      <c r="G435" s="36"/>
      <c r="H435" s="36"/>
      <c r="I435" s="36"/>
      <c r="J435" s="37"/>
      <c r="K435" s="18"/>
      <c r="L435" s="28" t="str">
        <f t="shared" si="66"/>
        <v/>
      </c>
      <c r="M435" s="29" t="str">
        <f t="shared" si="67"/>
        <v/>
      </c>
      <c r="N435" s="29" t="str">
        <f t="shared" si="68"/>
        <v/>
      </c>
      <c r="O435" s="30" t="str">
        <f t="shared" si="69"/>
        <v/>
      </c>
      <c r="P435" s="28" t="str">
        <f>IF($C435="","",IFERROR(INDEX(CA_TG,MATCH(B435,DS_CA,0))-INDEX(CA_NGHI,MATCH(B435,DS_CA,0))-SUMIFS('3 Nhật ký dừng máy'!$I$6:$I$1005,'3 Nhật ký dừng máy'!$A$6:$A$1005,$A435,'3 Nhật ký dừng máy'!$B$6:$B$1005,$B435,'3 Nhật ký dừng máy'!$C$6:$C$1005,$C435,'3 Nhật ký dừng máy'!$K$6:$K$1005,"Có kế hoạch"),"?"))</f>
        <v/>
      </c>
      <c r="Q435" s="28" t="str">
        <f>IF($C435="","",SUMIFS('3 Nhật ký dừng máy'!$I$6:$I$1005,'3 Nhật ký dừng máy'!$A$6:$A$1005,$A435,'3 Nhật ký dừng máy'!$B$6:$B$1005,$B435,'3 Nhật ký dừng máy'!$C$6:$C$1005,$C435,'3 Nhật ký dừng máy'!$K$6:$K$1005,"Ngoài kế hoạch"))</f>
        <v/>
      </c>
      <c r="R435" s="30" t="str">
        <f>IF($C435="","",COUNTIFS('3 Nhật ký dừng máy'!$A$6:$A$1005,$A435,'3 Nhật ký dừng máy'!$B$6:$B$1005,$B435,'3 Nhật ký dừng máy'!$C$6:$C$1005,$C435,'3 Nhật ký dừng máy'!$K$6:$K$1005,"Ngoài kế hoạch"))</f>
        <v/>
      </c>
      <c r="S435" s="31" t="str">
        <f t="shared" si="70"/>
        <v/>
      </c>
      <c r="T435" s="31" t="str">
        <f t="shared" si="71"/>
        <v/>
      </c>
      <c r="U435" s="31" t="str">
        <f t="shared" si="72"/>
        <v/>
      </c>
      <c r="V435" s="32" t="str">
        <f t="shared" si="73"/>
        <v/>
      </c>
      <c r="W435" s="30" t="str">
        <f t="shared" si="74"/>
        <v/>
      </c>
      <c r="X435" s="33" t="str">
        <f t="shared" si="75"/>
        <v/>
      </c>
      <c r="Y435" s="34" t="str">
        <f t="shared" si="76"/>
        <v/>
      </c>
    </row>
    <row r="436" spans="1:25" x14ac:dyDescent="0.2">
      <c r="A436" s="35"/>
      <c r="B436" s="21"/>
      <c r="C436" s="18"/>
      <c r="D436" s="21"/>
      <c r="E436" s="21"/>
      <c r="F436" s="21"/>
      <c r="G436" s="36"/>
      <c r="H436" s="36"/>
      <c r="I436" s="36"/>
      <c r="J436" s="37"/>
      <c r="K436" s="18"/>
      <c r="L436" s="28" t="str">
        <f t="shared" si="66"/>
        <v/>
      </c>
      <c r="M436" s="29" t="str">
        <f t="shared" si="67"/>
        <v/>
      </c>
      <c r="N436" s="29" t="str">
        <f t="shared" si="68"/>
        <v/>
      </c>
      <c r="O436" s="30" t="str">
        <f t="shared" si="69"/>
        <v/>
      </c>
      <c r="P436" s="28" t="str">
        <f>IF($C436="","",IFERROR(INDEX(CA_TG,MATCH(B436,DS_CA,0))-INDEX(CA_NGHI,MATCH(B436,DS_CA,0))-SUMIFS('3 Nhật ký dừng máy'!$I$6:$I$1005,'3 Nhật ký dừng máy'!$A$6:$A$1005,$A436,'3 Nhật ký dừng máy'!$B$6:$B$1005,$B436,'3 Nhật ký dừng máy'!$C$6:$C$1005,$C436,'3 Nhật ký dừng máy'!$K$6:$K$1005,"Có kế hoạch"),"?"))</f>
        <v/>
      </c>
      <c r="Q436" s="28" t="str">
        <f>IF($C436="","",SUMIFS('3 Nhật ký dừng máy'!$I$6:$I$1005,'3 Nhật ký dừng máy'!$A$6:$A$1005,$A436,'3 Nhật ký dừng máy'!$B$6:$B$1005,$B436,'3 Nhật ký dừng máy'!$C$6:$C$1005,$C436,'3 Nhật ký dừng máy'!$K$6:$K$1005,"Ngoài kế hoạch"))</f>
        <v/>
      </c>
      <c r="R436" s="30" t="str">
        <f>IF($C436="","",COUNTIFS('3 Nhật ký dừng máy'!$A$6:$A$1005,$A436,'3 Nhật ký dừng máy'!$B$6:$B$1005,$B436,'3 Nhật ký dừng máy'!$C$6:$C$1005,$C436,'3 Nhật ký dừng máy'!$K$6:$K$1005,"Ngoài kế hoạch"))</f>
        <v/>
      </c>
      <c r="S436" s="31" t="str">
        <f t="shared" si="70"/>
        <v/>
      </c>
      <c r="T436" s="31" t="str">
        <f t="shared" si="71"/>
        <v/>
      </c>
      <c r="U436" s="31" t="str">
        <f t="shared" si="72"/>
        <v/>
      </c>
      <c r="V436" s="32" t="str">
        <f t="shared" si="73"/>
        <v/>
      </c>
      <c r="W436" s="30" t="str">
        <f t="shared" si="74"/>
        <v/>
      </c>
      <c r="X436" s="33" t="str">
        <f t="shared" si="75"/>
        <v/>
      </c>
      <c r="Y436" s="34" t="str">
        <f t="shared" si="76"/>
        <v/>
      </c>
    </row>
    <row r="437" spans="1:25" x14ac:dyDescent="0.2">
      <c r="A437" s="35"/>
      <c r="B437" s="21"/>
      <c r="C437" s="18"/>
      <c r="D437" s="21"/>
      <c r="E437" s="21"/>
      <c r="F437" s="21"/>
      <c r="G437" s="36"/>
      <c r="H437" s="36"/>
      <c r="I437" s="36"/>
      <c r="J437" s="37"/>
      <c r="K437" s="18"/>
      <c r="L437" s="28" t="str">
        <f t="shared" si="66"/>
        <v/>
      </c>
      <c r="M437" s="29" t="str">
        <f t="shared" si="67"/>
        <v/>
      </c>
      <c r="N437" s="29" t="str">
        <f t="shared" si="68"/>
        <v/>
      </c>
      <c r="O437" s="30" t="str">
        <f t="shared" si="69"/>
        <v/>
      </c>
      <c r="P437" s="28" t="str">
        <f>IF($C437="","",IFERROR(INDEX(CA_TG,MATCH(B437,DS_CA,0))-INDEX(CA_NGHI,MATCH(B437,DS_CA,0))-SUMIFS('3 Nhật ký dừng máy'!$I$6:$I$1005,'3 Nhật ký dừng máy'!$A$6:$A$1005,$A437,'3 Nhật ký dừng máy'!$B$6:$B$1005,$B437,'3 Nhật ký dừng máy'!$C$6:$C$1005,$C437,'3 Nhật ký dừng máy'!$K$6:$K$1005,"Có kế hoạch"),"?"))</f>
        <v/>
      </c>
      <c r="Q437" s="28" t="str">
        <f>IF($C437="","",SUMIFS('3 Nhật ký dừng máy'!$I$6:$I$1005,'3 Nhật ký dừng máy'!$A$6:$A$1005,$A437,'3 Nhật ký dừng máy'!$B$6:$B$1005,$B437,'3 Nhật ký dừng máy'!$C$6:$C$1005,$C437,'3 Nhật ký dừng máy'!$K$6:$K$1005,"Ngoài kế hoạch"))</f>
        <v/>
      </c>
      <c r="R437" s="30" t="str">
        <f>IF($C437="","",COUNTIFS('3 Nhật ký dừng máy'!$A$6:$A$1005,$A437,'3 Nhật ký dừng máy'!$B$6:$B$1005,$B437,'3 Nhật ký dừng máy'!$C$6:$C$1005,$C437,'3 Nhật ký dừng máy'!$K$6:$K$1005,"Ngoài kế hoạch"))</f>
        <v/>
      </c>
      <c r="S437" s="31" t="str">
        <f t="shared" si="70"/>
        <v/>
      </c>
      <c r="T437" s="31" t="str">
        <f t="shared" si="71"/>
        <v/>
      </c>
      <c r="U437" s="31" t="str">
        <f t="shared" si="72"/>
        <v/>
      </c>
      <c r="V437" s="32" t="str">
        <f t="shared" si="73"/>
        <v/>
      </c>
      <c r="W437" s="30" t="str">
        <f t="shared" si="74"/>
        <v/>
      </c>
      <c r="X437" s="33" t="str">
        <f t="shared" si="75"/>
        <v/>
      </c>
      <c r="Y437" s="34" t="str">
        <f t="shared" si="76"/>
        <v/>
      </c>
    </row>
    <row r="438" spans="1:25" x14ac:dyDescent="0.2">
      <c r="A438" s="35"/>
      <c r="B438" s="21"/>
      <c r="C438" s="18"/>
      <c r="D438" s="21"/>
      <c r="E438" s="21"/>
      <c r="F438" s="21"/>
      <c r="G438" s="36"/>
      <c r="H438" s="36"/>
      <c r="I438" s="36"/>
      <c r="J438" s="37"/>
      <c r="K438" s="18"/>
      <c r="L438" s="28" t="str">
        <f t="shared" si="66"/>
        <v/>
      </c>
      <c r="M438" s="29" t="str">
        <f t="shared" si="67"/>
        <v/>
      </c>
      <c r="N438" s="29" t="str">
        <f t="shared" si="68"/>
        <v/>
      </c>
      <c r="O438" s="30" t="str">
        <f t="shared" si="69"/>
        <v/>
      </c>
      <c r="P438" s="28" t="str">
        <f>IF($C438="","",IFERROR(INDEX(CA_TG,MATCH(B438,DS_CA,0))-INDEX(CA_NGHI,MATCH(B438,DS_CA,0))-SUMIFS('3 Nhật ký dừng máy'!$I$6:$I$1005,'3 Nhật ký dừng máy'!$A$6:$A$1005,$A438,'3 Nhật ký dừng máy'!$B$6:$B$1005,$B438,'3 Nhật ký dừng máy'!$C$6:$C$1005,$C438,'3 Nhật ký dừng máy'!$K$6:$K$1005,"Có kế hoạch"),"?"))</f>
        <v/>
      </c>
      <c r="Q438" s="28" t="str">
        <f>IF($C438="","",SUMIFS('3 Nhật ký dừng máy'!$I$6:$I$1005,'3 Nhật ký dừng máy'!$A$6:$A$1005,$A438,'3 Nhật ký dừng máy'!$B$6:$B$1005,$B438,'3 Nhật ký dừng máy'!$C$6:$C$1005,$C438,'3 Nhật ký dừng máy'!$K$6:$K$1005,"Ngoài kế hoạch"))</f>
        <v/>
      </c>
      <c r="R438" s="30" t="str">
        <f>IF($C438="","",COUNTIFS('3 Nhật ký dừng máy'!$A$6:$A$1005,$A438,'3 Nhật ký dừng máy'!$B$6:$B$1005,$B438,'3 Nhật ký dừng máy'!$C$6:$C$1005,$C438,'3 Nhật ký dừng máy'!$K$6:$K$1005,"Ngoài kế hoạch"))</f>
        <v/>
      </c>
      <c r="S438" s="31" t="str">
        <f t="shared" si="70"/>
        <v/>
      </c>
      <c r="T438" s="31" t="str">
        <f t="shared" si="71"/>
        <v/>
      </c>
      <c r="U438" s="31" t="str">
        <f t="shared" si="72"/>
        <v/>
      </c>
      <c r="V438" s="32" t="str">
        <f t="shared" si="73"/>
        <v/>
      </c>
      <c r="W438" s="30" t="str">
        <f t="shared" si="74"/>
        <v/>
      </c>
      <c r="X438" s="33" t="str">
        <f t="shared" si="75"/>
        <v/>
      </c>
      <c r="Y438" s="34" t="str">
        <f t="shared" si="76"/>
        <v/>
      </c>
    </row>
    <row r="439" spans="1:25" x14ac:dyDescent="0.2">
      <c r="A439" s="35"/>
      <c r="B439" s="21"/>
      <c r="C439" s="18"/>
      <c r="D439" s="21"/>
      <c r="E439" s="21"/>
      <c r="F439" s="21"/>
      <c r="G439" s="36"/>
      <c r="H439" s="36"/>
      <c r="I439" s="36"/>
      <c r="J439" s="37"/>
      <c r="K439" s="18"/>
      <c r="L439" s="28" t="str">
        <f t="shared" si="66"/>
        <v/>
      </c>
      <c r="M439" s="29" t="str">
        <f t="shared" si="67"/>
        <v/>
      </c>
      <c r="N439" s="29" t="str">
        <f t="shared" si="68"/>
        <v/>
      </c>
      <c r="O439" s="30" t="str">
        <f t="shared" si="69"/>
        <v/>
      </c>
      <c r="P439" s="28" t="str">
        <f>IF($C439="","",IFERROR(INDEX(CA_TG,MATCH(B439,DS_CA,0))-INDEX(CA_NGHI,MATCH(B439,DS_CA,0))-SUMIFS('3 Nhật ký dừng máy'!$I$6:$I$1005,'3 Nhật ký dừng máy'!$A$6:$A$1005,$A439,'3 Nhật ký dừng máy'!$B$6:$B$1005,$B439,'3 Nhật ký dừng máy'!$C$6:$C$1005,$C439,'3 Nhật ký dừng máy'!$K$6:$K$1005,"Có kế hoạch"),"?"))</f>
        <v/>
      </c>
      <c r="Q439" s="28" t="str">
        <f>IF($C439="","",SUMIFS('3 Nhật ký dừng máy'!$I$6:$I$1005,'3 Nhật ký dừng máy'!$A$6:$A$1005,$A439,'3 Nhật ký dừng máy'!$B$6:$B$1005,$B439,'3 Nhật ký dừng máy'!$C$6:$C$1005,$C439,'3 Nhật ký dừng máy'!$K$6:$K$1005,"Ngoài kế hoạch"))</f>
        <v/>
      </c>
      <c r="R439" s="30" t="str">
        <f>IF($C439="","",COUNTIFS('3 Nhật ký dừng máy'!$A$6:$A$1005,$A439,'3 Nhật ký dừng máy'!$B$6:$B$1005,$B439,'3 Nhật ký dừng máy'!$C$6:$C$1005,$C439,'3 Nhật ký dừng máy'!$K$6:$K$1005,"Ngoài kế hoạch"))</f>
        <v/>
      </c>
      <c r="S439" s="31" t="str">
        <f t="shared" si="70"/>
        <v/>
      </c>
      <c r="T439" s="31" t="str">
        <f t="shared" si="71"/>
        <v/>
      </c>
      <c r="U439" s="31" t="str">
        <f t="shared" si="72"/>
        <v/>
      </c>
      <c r="V439" s="32" t="str">
        <f t="shared" si="73"/>
        <v/>
      </c>
      <c r="W439" s="30" t="str">
        <f t="shared" si="74"/>
        <v/>
      </c>
      <c r="X439" s="33" t="str">
        <f t="shared" si="75"/>
        <v/>
      </c>
      <c r="Y439" s="34" t="str">
        <f t="shared" si="76"/>
        <v/>
      </c>
    </row>
    <row r="440" spans="1:25" x14ac:dyDescent="0.2">
      <c r="A440" s="35"/>
      <c r="B440" s="21"/>
      <c r="C440" s="18"/>
      <c r="D440" s="21"/>
      <c r="E440" s="21"/>
      <c r="F440" s="21"/>
      <c r="G440" s="36"/>
      <c r="H440" s="36"/>
      <c r="I440" s="36"/>
      <c r="J440" s="37"/>
      <c r="K440" s="18"/>
      <c r="L440" s="28" t="str">
        <f t="shared" si="66"/>
        <v/>
      </c>
      <c r="M440" s="29" t="str">
        <f t="shared" si="67"/>
        <v/>
      </c>
      <c r="N440" s="29" t="str">
        <f t="shared" si="68"/>
        <v/>
      </c>
      <c r="O440" s="30" t="str">
        <f t="shared" si="69"/>
        <v/>
      </c>
      <c r="P440" s="28" t="str">
        <f>IF($C440="","",IFERROR(INDEX(CA_TG,MATCH(B440,DS_CA,0))-INDEX(CA_NGHI,MATCH(B440,DS_CA,0))-SUMIFS('3 Nhật ký dừng máy'!$I$6:$I$1005,'3 Nhật ký dừng máy'!$A$6:$A$1005,$A440,'3 Nhật ký dừng máy'!$B$6:$B$1005,$B440,'3 Nhật ký dừng máy'!$C$6:$C$1005,$C440,'3 Nhật ký dừng máy'!$K$6:$K$1005,"Có kế hoạch"),"?"))</f>
        <v/>
      </c>
      <c r="Q440" s="28" t="str">
        <f>IF($C440="","",SUMIFS('3 Nhật ký dừng máy'!$I$6:$I$1005,'3 Nhật ký dừng máy'!$A$6:$A$1005,$A440,'3 Nhật ký dừng máy'!$B$6:$B$1005,$B440,'3 Nhật ký dừng máy'!$C$6:$C$1005,$C440,'3 Nhật ký dừng máy'!$K$6:$K$1005,"Ngoài kế hoạch"))</f>
        <v/>
      </c>
      <c r="R440" s="30" t="str">
        <f>IF($C440="","",COUNTIFS('3 Nhật ký dừng máy'!$A$6:$A$1005,$A440,'3 Nhật ký dừng máy'!$B$6:$B$1005,$B440,'3 Nhật ký dừng máy'!$C$6:$C$1005,$C440,'3 Nhật ký dừng máy'!$K$6:$K$1005,"Ngoài kế hoạch"))</f>
        <v/>
      </c>
      <c r="S440" s="31" t="str">
        <f t="shared" si="70"/>
        <v/>
      </c>
      <c r="T440" s="31" t="str">
        <f t="shared" si="71"/>
        <v/>
      </c>
      <c r="U440" s="31" t="str">
        <f t="shared" si="72"/>
        <v/>
      </c>
      <c r="V440" s="32" t="str">
        <f t="shared" si="73"/>
        <v/>
      </c>
      <c r="W440" s="30" t="str">
        <f t="shared" si="74"/>
        <v/>
      </c>
      <c r="X440" s="33" t="str">
        <f t="shared" si="75"/>
        <v/>
      </c>
      <c r="Y440" s="34" t="str">
        <f t="shared" si="76"/>
        <v/>
      </c>
    </row>
    <row r="441" spans="1:25" x14ac:dyDescent="0.2">
      <c r="A441" s="35"/>
      <c r="B441" s="21"/>
      <c r="C441" s="18"/>
      <c r="D441" s="21"/>
      <c r="E441" s="21"/>
      <c r="F441" s="21"/>
      <c r="G441" s="36"/>
      <c r="H441" s="36"/>
      <c r="I441" s="36"/>
      <c r="J441" s="37"/>
      <c r="K441" s="18"/>
      <c r="L441" s="28" t="str">
        <f t="shared" si="66"/>
        <v/>
      </c>
      <c r="M441" s="29" t="str">
        <f t="shared" si="67"/>
        <v/>
      </c>
      <c r="N441" s="29" t="str">
        <f t="shared" si="68"/>
        <v/>
      </c>
      <c r="O441" s="30" t="str">
        <f t="shared" si="69"/>
        <v/>
      </c>
      <c r="P441" s="28" t="str">
        <f>IF($C441="","",IFERROR(INDEX(CA_TG,MATCH(B441,DS_CA,0))-INDEX(CA_NGHI,MATCH(B441,DS_CA,0))-SUMIFS('3 Nhật ký dừng máy'!$I$6:$I$1005,'3 Nhật ký dừng máy'!$A$6:$A$1005,$A441,'3 Nhật ký dừng máy'!$B$6:$B$1005,$B441,'3 Nhật ký dừng máy'!$C$6:$C$1005,$C441,'3 Nhật ký dừng máy'!$K$6:$K$1005,"Có kế hoạch"),"?"))</f>
        <v/>
      </c>
      <c r="Q441" s="28" t="str">
        <f>IF($C441="","",SUMIFS('3 Nhật ký dừng máy'!$I$6:$I$1005,'3 Nhật ký dừng máy'!$A$6:$A$1005,$A441,'3 Nhật ký dừng máy'!$B$6:$B$1005,$B441,'3 Nhật ký dừng máy'!$C$6:$C$1005,$C441,'3 Nhật ký dừng máy'!$K$6:$K$1005,"Ngoài kế hoạch"))</f>
        <v/>
      </c>
      <c r="R441" s="30" t="str">
        <f>IF($C441="","",COUNTIFS('3 Nhật ký dừng máy'!$A$6:$A$1005,$A441,'3 Nhật ký dừng máy'!$B$6:$B$1005,$B441,'3 Nhật ký dừng máy'!$C$6:$C$1005,$C441,'3 Nhật ký dừng máy'!$K$6:$K$1005,"Ngoài kế hoạch"))</f>
        <v/>
      </c>
      <c r="S441" s="31" t="str">
        <f t="shared" si="70"/>
        <v/>
      </c>
      <c r="T441" s="31" t="str">
        <f t="shared" si="71"/>
        <v/>
      </c>
      <c r="U441" s="31" t="str">
        <f t="shared" si="72"/>
        <v/>
      </c>
      <c r="V441" s="32" t="str">
        <f t="shared" si="73"/>
        <v/>
      </c>
      <c r="W441" s="30" t="str">
        <f t="shared" si="74"/>
        <v/>
      </c>
      <c r="X441" s="33" t="str">
        <f t="shared" si="75"/>
        <v/>
      </c>
      <c r="Y441" s="34" t="str">
        <f t="shared" si="76"/>
        <v/>
      </c>
    </row>
    <row r="442" spans="1:25" x14ac:dyDescent="0.2">
      <c r="A442" s="35"/>
      <c r="B442" s="21"/>
      <c r="C442" s="18"/>
      <c r="D442" s="21"/>
      <c r="E442" s="21"/>
      <c r="F442" s="21"/>
      <c r="G442" s="36"/>
      <c r="H442" s="36"/>
      <c r="I442" s="36"/>
      <c r="J442" s="37"/>
      <c r="K442" s="18"/>
      <c r="L442" s="28" t="str">
        <f t="shared" si="66"/>
        <v/>
      </c>
      <c r="M442" s="29" t="str">
        <f t="shared" si="67"/>
        <v/>
      </c>
      <c r="N442" s="29" t="str">
        <f t="shared" si="68"/>
        <v/>
      </c>
      <c r="O442" s="30" t="str">
        <f t="shared" si="69"/>
        <v/>
      </c>
      <c r="P442" s="28" t="str">
        <f>IF($C442="","",IFERROR(INDEX(CA_TG,MATCH(B442,DS_CA,0))-INDEX(CA_NGHI,MATCH(B442,DS_CA,0))-SUMIFS('3 Nhật ký dừng máy'!$I$6:$I$1005,'3 Nhật ký dừng máy'!$A$6:$A$1005,$A442,'3 Nhật ký dừng máy'!$B$6:$B$1005,$B442,'3 Nhật ký dừng máy'!$C$6:$C$1005,$C442,'3 Nhật ký dừng máy'!$K$6:$K$1005,"Có kế hoạch"),"?"))</f>
        <v/>
      </c>
      <c r="Q442" s="28" t="str">
        <f>IF($C442="","",SUMIFS('3 Nhật ký dừng máy'!$I$6:$I$1005,'3 Nhật ký dừng máy'!$A$6:$A$1005,$A442,'3 Nhật ký dừng máy'!$B$6:$B$1005,$B442,'3 Nhật ký dừng máy'!$C$6:$C$1005,$C442,'3 Nhật ký dừng máy'!$K$6:$K$1005,"Ngoài kế hoạch"))</f>
        <v/>
      </c>
      <c r="R442" s="30" t="str">
        <f>IF($C442="","",COUNTIFS('3 Nhật ký dừng máy'!$A$6:$A$1005,$A442,'3 Nhật ký dừng máy'!$B$6:$B$1005,$B442,'3 Nhật ký dừng máy'!$C$6:$C$1005,$C442,'3 Nhật ký dừng máy'!$K$6:$K$1005,"Ngoài kế hoạch"))</f>
        <v/>
      </c>
      <c r="S442" s="31" t="str">
        <f t="shared" si="70"/>
        <v/>
      </c>
      <c r="T442" s="31" t="str">
        <f t="shared" si="71"/>
        <v/>
      </c>
      <c r="U442" s="31" t="str">
        <f t="shared" si="72"/>
        <v/>
      </c>
      <c r="V442" s="32" t="str">
        <f t="shared" si="73"/>
        <v/>
      </c>
      <c r="W442" s="30" t="str">
        <f t="shared" si="74"/>
        <v/>
      </c>
      <c r="X442" s="33" t="str">
        <f t="shared" si="75"/>
        <v/>
      </c>
      <c r="Y442" s="34" t="str">
        <f t="shared" si="76"/>
        <v/>
      </c>
    </row>
    <row r="443" spans="1:25" x14ac:dyDescent="0.2">
      <c r="A443" s="35"/>
      <c r="B443" s="21"/>
      <c r="C443" s="18"/>
      <c r="D443" s="21"/>
      <c r="E443" s="21"/>
      <c r="F443" s="21"/>
      <c r="G443" s="36"/>
      <c r="H443" s="36"/>
      <c r="I443" s="36"/>
      <c r="J443" s="37"/>
      <c r="K443" s="18"/>
      <c r="L443" s="28" t="str">
        <f t="shared" si="66"/>
        <v/>
      </c>
      <c r="M443" s="29" t="str">
        <f t="shared" si="67"/>
        <v/>
      </c>
      <c r="N443" s="29" t="str">
        <f t="shared" si="68"/>
        <v/>
      </c>
      <c r="O443" s="30" t="str">
        <f t="shared" si="69"/>
        <v/>
      </c>
      <c r="P443" s="28" t="str">
        <f>IF($C443="","",IFERROR(INDEX(CA_TG,MATCH(B443,DS_CA,0))-INDEX(CA_NGHI,MATCH(B443,DS_CA,0))-SUMIFS('3 Nhật ký dừng máy'!$I$6:$I$1005,'3 Nhật ký dừng máy'!$A$6:$A$1005,$A443,'3 Nhật ký dừng máy'!$B$6:$B$1005,$B443,'3 Nhật ký dừng máy'!$C$6:$C$1005,$C443,'3 Nhật ký dừng máy'!$K$6:$K$1005,"Có kế hoạch"),"?"))</f>
        <v/>
      </c>
      <c r="Q443" s="28" t="str">
        <f>IF($C443="","",SUMIFS('3 Nhật ký dừng máy'!$I$6:$I$1005,'3 Nhật ký dừng máy'!$A$6:$A$1005,$A443,'3 Nhật ký dừng máy'!$B$6:$B$1005,$B443,'3 Nhật ký dừng máy'!$C$6:$C$1005,$C443,'3 Nhật ký dừng máy'!$K$6:$K$1005,"Ngoài kế hoạch"))</f>
        <v/>
      </c>
      <c r="R443" s="30" t="str">
        <f>IF($C443="","",COUNTIFS('3 Nhật ký dừng máy'!$A$6:$A$1005,$A443,'3 Nhật ký dừng máy'!$B$6:$B$1005,$B443,'3 Nhật ký dừng máy'!$C$6:$C$1005,$C443,'3 Nhật ký dừng máy'!$K$6:$K$1005,"Ngoài kế hoạch"))</f>
        <v/>
      </c>
      <c r="S443" s="31" t="str">
        <f t="shared" si="70"/>
        <v/>
      </c>
      <c r="T443" s="31" t="str">
        <f t="shared" si="71"/>
        <v/>
      </c>
      <c r="U443" s="31" t="str">
        <f t="shared" si="72"/>
        <v/>
      </c>
      <c r="V443" s="32" t="str">
        <f t="shared" si="73"/>
        <v/>
      </c>
      <c r="W443" s="30" t="str">
        <f t="shared" si="74"/>
        <v/>
      </c>
      <c r="X443" s="33" t="str">
        <f t="shared" si="75"/>
        <v/>
      </c>
      <c r="Y443" s="34" t="str">
        <f t="shared" si="76"/>
        <v/>
      </c>
    </row>
    <row r="444" spans="1:25" x14ac:dyDescent="0.2">
      <c r="A444" s="35"/>
      <c r="B444" s="21"/>
      <c r="C444" s="18"/>
      <c r="D444" s="21"/>
      <c r="E444" s="21"/>
      <c r="F444" s="21"/>
      <c r="G444" s="36"/>
      <c r="H444" s="36"/>
      <c r="I444" s="36"/>
      <c r="J444" s="37"/>
      <c r="K444" s="18"/>
      <c r="L444" s="28" t="str">
        <f t="shared" si="66"/>
        <v/>
      </c>
      <c r="M444" s="29" t="str">
        <f t="shared" si="67"/>
        <v/>
      </c>
      <c r="N444" s="29" t="str">
        <f t="shared" si="68"/>
        <v/>
      </c>
      <c r="O444" s="30" t="str">
        <f t="shared" si="69"/>
        <v/>
      </c>
      <c r="P444" s="28" t="str">
        <f>IF($C444="","",IFERROR(INDEX(CA_TG,MATCH(B444,DS_CA,0))-INDEX(CA_NGHI,MATCH(B444,DS_CA,0))-SUMIFS('3 Nhật ký dừng máy'!$I$6:$I$1005,'3 Nhật ký dừng máy'!$A$6:$A$1005,$A444,'3 Nhật ký dừng máy'!$B$6:$B$1005,$B444,'3 Nhật ký dừng máy'!$C$6:$C$1005,$C444,'3 Nhật ký dừng máy'!$K$6:$K$1005,"Có kế hoạch"),"?"))</f>
        <v/>
      </c>
      <c r="Q444" s="28" t="str">
        <f>IF($C444="","",SUMIFS('3 Nhật ký dừng máy'!$I$6:$I$1005,'3 Nhật ký dừng máy'!$A$6:$A$1005,$A444,'3 Nhật ký dừng máy'!$B$6:$B$1005,$B444,'3 Nhật ký dừng máy'!$C$6:$C$1005,$C444,'3 Nhật ký dừng máy'!$K$6:$K$1005,"Ngoài kế hoạch"))</f>
        <v/>
      </c>
      <c r="R444" s="30" t="str">
        <f>IF($C444="","",COUNTIFS('3 Nhật ký dừng máy'!$A$6:$A$1005,$A444,'3 Nhật ký dừng máy'!$B$6:$B$1005,$B444,'3 Nhật ký dừng máy'!$C$6:$C$1005,$C444,'3 Nhật ký dừng máy'!$K$6:$K$1005,"Ngoài kế hoạch"))</f>
        <v/>
      </c>
      <c r="S444" s="31" t="str">
        <f t="shared" si="70"/>
        <v/>
      </c>
      <c r="T444" s="31" t="str">
        <f t="shared" si="71"/>
        <v/>
      </c>
      <c r="U444" s="31" t="str">
        <f t="shared" si="72"/>
        <v/>
      </c>
      <c r="V444" s="32" t="str">
        <f t="shared" si="73"/>
        <v/>
      </c>
      <c r="W444" s="30" t="str">
        <f t="shared" si="74"/>
        <v/>
      </c>
      <c r="X444" s="33" t="str">
        <f t="shared" si="75"/>
        <v/>
      </c>
      <c r="Y444" s="34" t="str">
        <f t="shared" si="76"/>
        <v/>
      </c>
    </row>
    <row r="445" spans="1:25" x14ac:dyDescent="0.2">
      <c r="A445" s="35"/>
      <c r="B445" s="21"/>
      <c r="C445" s="18"/>
      <c r="D445" s="21"/>
      <c r="E445" s="21"/>
      <c r="F445" s="21"/>
      <c r="G445" s="36"/>
      <c r="H445" s="36"/>
      <c r="I445" s="36"/>
      <c r="J445" s="37"/>
      <c r="K445" s="18"/>
      <c r="L445" s="28" t="str">
        <f t="shared" si="66"/>
        <v/>
      </c>
      <c r="M445" s="29" t="str">
        <f t="shared" si="67"/>
        <v/>
      </c>
      <c r="N445" s="29" t="str">
        <f t="shared" si="68"/>
        <v/>
      </c>
      <c r="O445" s="30" t="str">
        <f t="shared" si="69"/>
        <v/>
      </c>
      <c r="P445" s="28" t="str">
        <f>IF($C445="","",IFERROR(INDEX(CA_TG,MATCH(B445,DS_CA,0))-INDEX(CA_NGHI,MATCH(B445,DS_CA,0))-SUMIFS('3 Nhật ký dừng máy'!$I$6:$I$1005,'3 Nhật ký dừng máy'!$A$6:$A$1005,$A445,'3 Nhật ký dừng máy'!$B$6:$B$1005,$B445,'3 Nhật ký dừng máy'!$C$6:$C$1005,$C445,'3 Nhật ký dừng máy'!$K$6:$K$1005,"Có kế hoạch"),"?"))</f>
        <v/>
      </c>
      <c r="Q445" s="28" t="str">
        <f>IF($C445="","",SUMIFS('3 Nhật ký dừng máy'!$I$6:$I$1005,'3 Nhật ký dừng máy'!$A$6:$A$1005,$A445,'3 Nhật ký dừng máy'!$B$6:$B$1005,$B445,'3 Nhật ký dừng máy'!$C$6:$C$1005,$C445,'3 Nhật ký dừng máy'!$K$6:$K$1005,"Ngoài kế hoạch"))</f>
        <v/>
      </c>
      <c r="R445" s="30" t="str">
        <f>IF($C445="","",COUNTIFS('3 Nhật ký dừng máy'!$A$6:$A$1005,$A445,'3 Nhật ký dừng máy'!$B$6:$B$1005,$B445,'3 Nhật ký dừng máy'!$C$6:$C$1005,$C445,'3 Nhật ký dừng máy'!$K$6:$K$1005,"Ngoài kế hoạch"))</f>
        <v/>
      </c>
      <c r="S445" s="31" t="str">
        <f t="shared" si="70"/>
        <v/>
      </c>
      <c r="T445" s="31" t="str">
        <f t="shared" si="71"/>
        <v/>
      </c>
      <c r="U445" s="31" t="str">
        <f t="shared" si="72"/>
        <v/>
      </c>
      <c r="V445" s="32" t="str">
        <f t="shared" si="73"/>
        <v/>
      </c>
      <c r="W445" s="30" t="str">
        <f t="shared" si="74"/>
        <v/>
      </c>
      <c r="X445" s="33" t="str">
        <f t="shared" si="75"/>
        <v/>
      </c>
      <c r="Y445" s="34" t="str">
        <f t="shared" si="76"/>
        <v/>
      </c>
    </row>
    <row r="446" spans="1:25" x14ac:dyDescent="0.2">
      <c r="A446" s="35"/>
      <c r="B446" s="21"/>
      <c r="C446" s="18"/>
      <c r="D446" s="21"/>
      <c r="E446" s="21"/>
      <c r="F446" s="21"/>
      <c r="G446" s="36"/>
      <c r="H446" s="36"/>
      <c r="I446" s="36"/>
      <c r="J446" s="37"/>
      <c r="K446" s="18"/>
      <c r="L446" s="28" t="str">
        <f t="shared" si="66"/>
        <v/>
      </c>
      <c r="M446" s="29" t="str">
        <f t="shared" si="67"/>
        <v/>
      </c>
      <c r="N446" s="29" t="str">
        <f t="shared" si="68"/>
        <v/>
      </c>
      <c r="O446" s="30" t="str">
        <f t="shared" si="69"/>
        <v/>
      </c>
      <c r="P446" s="28" t="str">
        <f>IF($C446="","",IFERROR(INDEX(CA_TG,MATCH(B446,DS_CA,0))-INDEX(CA_NGHI,MATCH(B446,DS_CA,0))-SUMIFS('3 Nhật ký dừng máy'!$I$6:$I$1005,'3 Nhật ký dừng máy'!$A$6:$A$1005,$A446,'3 Nhật ký dừng máy'!$B$6:$B$1005,$B446,'3 Nhật ký dừng máy'!$C$6:$C$1005,$C446,'3 Nhật ký dừng máy'!$K$6:$K$1005,"Có kế hoạch"),"?"))</f>
        <v/>
      </c>
      <c r="Q446" s="28" t="str">
        <f>IF($C446="","",SUMIFS('3 Nhật ký dừng máy'!$I$6:$I$1005,'3 Nhật ký dừng máy'!$A$6:$A$1005,$A446,'3 Nhật ký dừng máy'!$B$6:$B$1005,$B446,'3 Nhật ký dừng máy'!$C$6:$C$1005,$C446,'3 Nhật ký dừng máy'!$K$6:$K$1005,"Ngoài kế hoạch"))</f>
        <v/>
      </c>
      <c r="R446" s="30" t="str">
        <f>IF($C446="","",COUNTIFS('3 Nhật ký dừng máy'!$A$6:$A$1005,$A446,'3 Nhật ký dừng máy'!$B$6:$B$1005,$B446,'3 Nhật ký dừng máy'!$C$6:$C$1005,$C446,'3 Nhật ký dừng máy'!$K$6:$K$1005,"Ngoài kế hoạch"))</f>
        <v/>
      </c>
      <c r="S446" s="31" t="str">
        <f t="shared" si="70"/>
        <v/>
      </c>
      <c r="T446" s="31" t="str">
        <f t="shared" si="71"/>
        <v/>
      </c>
      <c r="U446" s="31" t="str">
        <f t="shared" si="72"/>
        <v/>
      </c>
      <c r="V446" s="32" t="str">
        <f t="shared" si="73"/>
        <v/>
      </c>
      <c r="W446" s="30" t="str">
        <f t="shared" si="74"/>
        <v/>
      </c>
      <c r="X446" s="33" t="str">
        <f t="shared" si="75"/>
        <v/>
      </c>
      <c r="Y446" s="34" t="str">
        <f t="shared" si="76"/>
        <v/>
      </c>
    </row>
    <row r="447" spans="1:25" x14ac:dyDescent="0.2">
      <c r="A447" s="35"/>
      <c r="B447" s="21"/>
      <c r="C447" s="18"/>
      <c r="D447" s="21"/>
      <c r="E447" s="21"/>
      <c r="F447" s="21"/>
      <c r="G447" s="36"/>
      <c r="H447" s="36"/>
      <c r="I447" s="36"/>
      <c r="J447" s="37"/>
      <c r="K447" s="18"/>
      <c r="L447" s="28" t="str">
        <f t="shared" si="66"/>
        <v/>
      </c>
      <c r="M447" s="29" t="str">
        <f t="shared" si="67"/>
        <v/>
      </c>
      <c r="N447" s="29" t="str">
        <f t="shared" si="68"/>
        <v/>
      </c>
      <c r="O447" s="30" t="str">
        <f t="shared" si="69"/>
        <v/>
      </c>
      <c r="P447" s="28" t="str">
        <f>IF($C447="","",IFERROR(INDEX(CA_TG,MATCH(B447,DS_CA,0))-INDEX(CA_NGHI,MATCH(B447,DS_CA,0))-SUMIFS('3 Nhật ký dừng máy'!$I$6:$I$1005,'3 Nhật ký dừng máy'!$A$6:$A$1005,$A447,'3 Nhật ký dừng máy'!$B$6:$B$1005,$B447,'3 Nhật ký dừng máy'!$C$6:$C$1005,$C447,'3 Nhật ký dừng máy'!$K$6:$K$1005,"Có kế hoạch"),"?"))</f>
        <v/>
      </c>
      <c r="Q447" s="28" t="str">
        <f>IF($C447="","",SUMIFS('3 Nhật ký dừng máy'!$I$6:$I$1005,'3 Nhật ký dừng máy'!$A$6:$A$1005,$A447,'3 Nhật ký dừng máy'!$B$6:$B$1005,$B447,'3 Nhật ký dừng máy'!$C$6:$C$1005,$C447,'3 Nhật ký dừng máy'!$K$6:$K$1005,"Ngoài kế hoạch"))</f>
        <v/>
      </c>
      <c r="R447" s="30" t="str">
        <f>IF($C447="","",COUNTIFS('3 Nhật ký dừng máy'!$A$6:$A$1005,$A447,'3 Nhật ký dừng máy'!$B$6:$B$1005,$B447,'3 Nhật ký dừng máy'!$C$6:$C$1005,$C447,'3 Nhật ký dừng máy'!$K$6:$K$1005,"Ngoài kế hoạch"))</f>
        <v/>
      </c>
      <c r="S447" s="31" t="str">
        <f t="shared" si="70"/>
        <v/>
      </c>
      <c r="T447" s="31" t="str">
        <f t="shared" si="71"/>
        <v/>
      </c>
      <c r="U447" s="31" t="str">
        <f t="shared" si="72"/>
        <v/>
      </c>
      <c r="V447" s="32" t="str">
        <f t="shared" si="73"/>
        <v/>
      </c>
      <c r="W447" s="30" t="str">
        <f t="shared" si="74"/>
        <v/>
      </c>
      <c r="X447" s="33" t="str">
        <f t="shared" si="75"/>
        <v/>
      </c>
      <c r="Y447" s="34" t="str">
        <f t="shared" si="76"/>
        <v/>
      </c>
    </row>
    <row r="448" spans="1:25" x14ac:dyDescent="0.2">
      <c r="A448" s="35"/>
      <c r="B448" s="21"/>
      <c r="C448" s="18"/>
      <c r="D448" s="21"/>
      <c r="E448" s="21"/>
      <c r="F448" s="21"/>
      <c r="G448" s="36"/>
      <c r="H448" s="36"/>
      <c r="I448" s="36"/>
      <c r="J448" s="37"/>
      <c r="K448" s="18"/>
      <c r="L448" s="28" t="str">
        <f t="shared" si="66"/>
        <v/>
      </c>
      <c r="M448" s="29" t="str">
        <f t="shared" si="67"/>
        <v/>
      </c>
      <c r="N448" s="29" t="str">
        <f t="shared" si="68"/>
        <v/>
      </c>
      <c r="O448" s="30" t="str">
        <f t="shared" si="69"/>
        <v/>
      </c>
      <c r="P448" s="28" t="str">
        <f>IF($C448="","",IFERROR(INDEX(CA_TG,MATCH(B448,DS_CA,0))-INDEX(CA_NGHI,MATCH(B448,DS_CA,0))-SUMIFS('3 Nhật ký dừng máy'!$I$6:$I$1005,'3 Nhật ký dừng máy'!$A$6:$A$1005,$A448,'3 Nhật ký dừng máy'!$B$6:$B$1005,$B448,'3 Nhật ký dừng máy'!$C$6:$C$1005,$C448,'3 Nhật ký dừng máy'!$K$6:$K$1005,"Có kế hoạch"),"?"))</f>
        <v/>
      </c>
      <c r="Q448" s="28" t="str">
        <f>IF($C448="","",SUMIFS('3 Nhật ký dừng máy'!$I$6:$I$1005,'3 Nhật ký dừng máy'!$A$6:$A$1005,$A448,'3 Nhật ký dừng máy'!$B$6:$B$1005,$B448,'3 Nhật ký dừng máy'!$C$6:$C$1005,$C448,'3 Nhật ký dừng máy'!$K$6:$K$1005,"Ngoài kế hoạch"))</f>
        <v/>
      </c>
      <c r="R448" s="30" t="str">
        <f>IF($C448="","",COUNTIFS('3 Nhật ký dừng máy'!$A$6:$A$1005,$A448,'3 Nhật ký dừng máy'!$B$6:$B$1005,$B448,'3 Nhật ký dừng máy'!$C$6:$C$1005,$C448,'3 Nhật ký dừng máy'!$K$6:$K$1005,"Ngoài kế hoạch"))</f>
        <v/>
      </c>
      <c r="S448" s="31" t="str">
        <f t="shared" si="70"/>
        <v/>
      </c>
      <c r="T448" s="31" t="str">
        <f t="shared" si="71"/>
        <v/>
      </c>
      <c r="U448" s="31" t="str">
        <f t="shared" si="72"/>
        <v/>
      </c>
      <c r="V448" s="32" t="str">
        <f t="shared" si="73"/>
        <v/>
      </c>
      <c r="W448" s="30" t="str">
        <f t="shared" si="74"/>
        <v/>
      </c>
      <c r="X448" s="33" t="str">
        <f t="shared" si="75"/>
        <v/>
      </c>
      <c r="Y448" s="34" t="str">
        <f t="shared" si="76"/>
        <v/>
      </c>
    </row>
    <row r="449" spans="1:25" x14ac:dyDescent="0.2">
      <c r="A449" s="35"/>
      <c r="B449" s="21"/>
      <c r="C449" s="18"/>
      <c r="D449" s="21"/>
      <c r="E449" s="21"/>
      <c r="F449" s="21"/>
      <c r="G449" s="36"/>
      <c r="H449" s="36"/>
      <c r="I449" s="36"/>
      <c r="J449" s="37"/>
      <c r="K449" s="18"/>
      <c r="L449" s="28" t="str">
        <f t="shared" si="66"/>
        <v/>
      </c>
      <c r="M449" s="29" t="str">
        <f t="shared" si="67"/>
        <v/>
      </c>
      <c r="N449" s="29" t="str">
        <f t="shared" si="68"/>
        <v/>
      </c>
      <c r="O449" s="30" t="str">
        <f t="shared" si="69"/>
        <v/>
      </c>
      <c r="P449" s="28" t="str">
        <f>IF($C449="","",IFERROR(INDEX(CA_TG,MATCH(B449,DS_CA,0))-INDEX(CA_NGHI,MATCH(B449,DS_CA,0))-SUMIFS('3 Nhật ký dừng máy'!$I$6:$I$1005,'3 Nhật ký dừng máy'!$A$6:$A$1005,$A449,'3 Nhật ký dừng máy'!$B$6:$B$1005,$B449,'3 Nhật ký dừng máy'!$C$6:$C$1005,$C449,'3 Nhật ký dừng máy'!$K$6:$K$1005,"Có kế hoạch"),"?"))</f>
        <v/>
      </c>
      <c r="Q449" s="28" t="str">
        <f>IF($C449="","",SUMIFS('3 Nhật ký dừng máy'!$I$6:$I$1005,'3 Nhật ký dừng máy'!$A$6:$A$1005,$A449,'3 Nhật ký dừng máy'!$B$6:$B$1005,$B449,'3 Nhật ký dừng máy'!$C$6:$C$1005,$C449,'3 Nhật ký dừng máy'!$K$6:$K$1005,"Ngoài kế hoạch"))</f>
        <v/>
      </c>
      <c r="R449" s="30" t="str">
        <f>IF($C449="","",COUNTIFS('3 Nhật ký dừng máy'!$A$6:$A$1005,$A449,'3 Nhật ký dừng máy'!$B$6:$B$1005,$B449,'3 Nhật ký dừng máy'!$C$6:$C$1005,$C449,'3 Nhật ký dừng máy'!$K$6:$K$1005,"Ngoài kế hoạch"))</f>
        <v/>
      </c>
      <c r="S449" s="31" t="str">
        <f t="shared" si="70"/>
        <v/>
      </c>
      <c r="T449" s="31" t="str">
        <f t="shared" si="71"/>
        <v/>
      </c>
      <c r="U449" s="31" t="str">
        <f t="shared" si="72"/>
        <v/>
      </c>
      <c r="V449" s="32" t="str">
        <f t="shared" si="73"/>
        <v/>
      </c>
      <c r="W449" s="30" t="str">
        <f t="shared" si="74"/>
        <v/>
      </c>
      <c r="X449" s="33" t="str">
        <f t="shared" si="75"/>
        <v/>
      </c>
      <c r="Y449" s="34" t="str">
        <f t="shared" si="76"/>
        <v/>
      </c>
    </row>
    <row r="450" spans="1:25" x14ac:dyDescent="0.2">
      <c r="A450" s="35"/>
      <c r="B450" s="21"/>
      <c r="C450" s="18"/>
      <c r="D450" s="21"/>
      <c r="E450" s="21"/>
      <c r="F450" s="21"/>
      <c r="G450" s="36"/>
      <c r="H450" s="36"/>
      <c r="I450" s="36"/>
      <c r="J450" s="37"/>
      <c r="K450" s="18"/>
      <c r="L450" s="28" t="str">
        <f t="shared" si="66"/>
        <v/>
      </c>
      <c r="M450" s="29" t="str">
        <f t="shared" si="67"/>
        <v/>
      </c>
      <c r="N450" s="29" t="str">
        <f t="shared" si="68"/>
        <v/>
      </c>
      <c r="O450" s="30" t="str">
        <f t="shared" si="69"/>
        <v/>
      </c>
      <c r="P450" s="28" t="str">
        <f>IF($C450="","",IFERROR(INDEX(CA_TG,MATCH(B450,DS_CA,0))-INDEX(CA_NGHI,MATCH(B450,DS_CA,0))-SUMIFS('3 Nhật ký dừng máy'!$I$6:$I$1005,'3 Nhật ký dừng máy'!$A$6:$A$1005,$A450,'3 Nhật ký dừng máy'!$B$6:$B$1005,$B450,'3 Nhật ký dừng máy'!$C$6:$C$1005,$C450,'3 Nhật ký dừng máy'!$K$6:$K$1005,"Có kế hoạch"),"?"))</f>
        <v/>
      </c>
      <c r="Q450" s="28" t="str">
        <f>IF($C450="","",SUMIFS('3 Nhật ký dừng máy'!$I$6:$I$1005,'3 Nhật ký dừng máy'!$A$6:$A$1005,$A450,'3 Nhật ký dừng máy'!$B$6:$B$1005,$B450,'3 Nhật ký dừng máy'!$C$6:$C$1005,$C450,'3 Nhật ký dừng máy'!$K$6:$K$1005,"Ngoài kế hoạch"))</f>
        <v/>
      </c>
      <c r="R450" s="30" t="str">
        <f>IF($C450="","",COUNTIFS('3 Nhật ký dừng máy'!$A$6:$A$1005,$A450,'3 Nhật ký dừng máy'!$B$6:$B$1005,$B450,'3 Nhật ký dừng máy'!$C$6:$C$1005,$C450,'3 Nhật ký dừng máy'!$K$6:$K$1005,"Ngoài kế hoạch"))</f>
        <v/>
      </c>
      <c r="S450" s="31" t="str">
        <f t="shared" si="70"/>
        <v/>
      </c>
      <c r="T450" s="31" t="str">
        <f t="shared" si="71"/>
        <v/>
      </c>
      <c r="U450" s="31" t="str">
        <f t="shared" si="72"/>
        <v/>
      </c>
      <c r="V450" s="32" t="str">
        <f t="shared" si="73"/>
        <v/>
      </c>
      <c r="W450" s="30" t="str">
        <f t="shared" si="74"/>
        <v/>
      </c>
      <c r="X450" s="33" t="str">
        <f t="shared" si="75"/>
        <v/>
      </c>
      <c r="Y450" s="34" t="str">
        <f t="shared" si="76"/>
        <v/>
      </c>
    </row>
    <row r="451" spans="1:25" x14ac:dyDescent="0.2">
      <c r="A451" s="35"/>
      <c r="B451" s="21"/>
      <c r="C451" s="18"/>
      <c r="D451" s="21"/>
      <c r="E451" s="21"/>
      <c r="F451" s="21"/>
      <c r="G451" s="36"/>
      <c r="H451" s="36"/>
      <c r="I451" s="36"/>
      <c r="J451" s="37"/>
      <c r="K451" s="18"/>
      <c r="L451" s="28" t="str">
        <f t="shared" si="66"/>
        <v/>
      </c>
      <c r="M451" s="29" t="str">
        <f t="shared" si="67"/>
        <v/>
      </c>
      <c r="N451" s="29" t="str">
        <f t="shared" si="68"/>
        <v/>
      </c>
      <c r="O451" s="30" t="str">
        <f t="shared" si="69"/>
        <v/>
      </c>
      <c r="P451" s="28" t="str">
        <f>IF($C451="","",IFERROR(INDEX(CA_TG,MATCH(B451,DS_CA,0))-INDEX(CA_NGHI,MATCH(B451,DS_CA,0))-SUMIFS('3 Nhật ký dừng máy'!$I$6:$I$1005,'3 Nhật ký dừng máy'!$A$6:$A$1005,$A451,'3 Nhật ký dừng máy'!$B$6:$B$1005,$B451,'3 Nhật ký dừng máy'!$C$6:$C$1005,$C451,'3 Nhật ký dừng máy'!$K$6:$K$1005,"Có kế hoạch"),"?"))</f>
        <v/>
      </c>
      <c r="Q451" s="28" t="str">
        <f>IF($C451="","",SUMIFS('3 Nhật ký dừng máy'!$I$6:$I$1005,'3 Nhật ký dừng máy'!$A$6:$A$1005,$A451,'3 Nhật ký dừng máy'!$B$6:$B$1005,$B451,'3 Nhật ký dừng máy'!$C$6:$C$1005,$C451,'3 Nhật ký dừng máy'!$K$6:$K$1005,"Ngoài kế hoạch"))</f>
        <v/>
      </c>
      <c r="R451" s="30" t="str">
        <f>IF($C451="","",COUNTIFS('3 Nhật ký dừng máy'!$A$6:$A$1005,$A451,'3 Nhật ký dừng máy'!$B$6:$B$1005,$B451,'3 Nhật ký dừng máy'!$C$6:$C$1005,$C451,'3 Nhật ký dừng máy'!$K$6:$K$1005,"Ngoài kế hoạch"))</f>
        <v/>
      </c>
      <c r="S451" s="31" t="str">
        <f t="shared" si="70"/>
        <v/>
      </c>
      <c r="T451" s="31" t="str">
        <f t="shared" si="71"/>
        <v/>
      </c>
      <c r="U451" s="31" t="str">
        <f t="shared" si="72"/>
        <v/>
      </c>
      <c r="V451" s="32" t="str">
        <f t="shared" si="73"/>
        <v/>
      </c>
      <c r="W451" s="30" t="str">
        <f t="shared" si="74"/>
        <v/>
      </c>
      <c r="X451" s="33" t="str">
        <f t="shared" si="75"/>
        <v/>
      </c>
      <c r="Y451" s="34" t="str">
        <f t="shared" si="76"/>
        <v/>
      </c>
    </row>
    <row r="452" spans="1:25" x14ac:dyDescent="0.2">
      <c r="A452" s="35"/>
      <c r="B452" s="21"/>
      <c r="C452" s="18"/>
      <c r="D452" s="21"/>
      <c r="E452" s="21"/>
      <c r="F452" s="21"/>
      <c r="G452" s="36"/>
      <c r="H452" s="36"/>
      <c r="I452" s="36"/>
      <c r="J452" s="37"/>
      <c r="K452" s="18"/>
      <c r="L452" s="28" t="str">
        <f t="shared" si="66"/>
        <v/>
      </c>
      <c r="M452" s="29" t="str">
        <f t="shared" si="67"/>
        <v/>
      </c>
      <c r="N452" s="29" t="str">
        <f t="shared" si="68"/>
        <v/>
      </c>
      <c r="O452" s="30" t="str">
        <f t="shared" si="69"/>
        <v/>
      </c>
      <c r="P452" s="28" t="str">
        <f>IF($C452="","",IFERROR(INDEX(CA_TG,MATCH(B452,DS_CA,0))-INDEX(CA_NGHI,MATCH(B452,DS_CA,0))-SUMIFS('3 Nhật ký dừng máy'!$I$6:$I$1005,'3 Nhật ký dừng máy'!$A$6:$A$1005,$A452,'3 Nhật ký dừng máy'!$B$6:$B$1005,$B452,'3 Nhật ký dừng máy'!$C$6:$C$1005,$C452,'3 Nhật ký dừng máy'!$K$6:$K$1005,"Có kế hoạch"),"?"))</f>
        <v/>
      </c>
      <c r="Q452" s="28" t="str">
        <f>IF($C452="","",SUMIFS('3 Nhật ký dừng máy'!$I$6:$I$1005,'3 Nhật ký dừng máy'!$A$6:$A$1005,$A452,'3 Nhật ký dừng máy'!$B$6:$B$1005,$B452,'3 Nhật ký dừng máy'!$C$6:$C$1005,$C452,'3 Nhật ký dừng máy'!$K$6:$K$1005,"Ngoài kế hoạch"))</f>
        <v/>
      </c>
      <c r="R452" s="30" t="str">
        <f>IF($C452="","",COUNTIFS('3 Nhật ký dừng máy'!$A$6:$A$1005,$A452,'3 Nhật ký dừng máy'!$B$6:$B$1005,$B452,'3 Nhật ký dừng máy'!$C$6:$C$1005,$C452,'3 Nhật ký dừng máy'!$K$6:$K$1005,"Ngoài kế hoạch"))</f>
        <v/>
      </c>
      <c r="S452" s="31" t="str">
        <f t="shared" si="70"/>
        <v/>
      </c>
      <c r="T452" s="31" t="str">
        <f t="shared" si="71"/>
        <v/>
      </c>
      <c r="U452" s="31" t="str">
        <f t="shared" si="72"/>
        <v/>
      </c>
      <c r="V452" s="32" t="str">
        <f t="shared" si="73"/>
        <v/>
      </c>
      <c r="W452" s="30" t="str">
        <f t="shared" si="74"/>
        <v/>
      </c>
      <c r="X452" s="33" t="str">
        <f t="shared" si="75"/>
        <v/>
      </c>
      <c r="Y452" s="34" t="str">
        <f t="shared" si="76"/>
        <v/>
      </c>
    </row>
    <row r="453" spans="1:25" x14ac:dyDescent="0.2">
      <c r="A453" s="35"/>
      <c r="B453" s="21"/>
      <c r="C453" s="18"/>
      <c r="D453" s="21"/>
      <c r="E453" s="21"/>
      <c r="F453" s="21"/>
      <c r="G453" s="36"/>
      <c r="H453" s="36"/>
      <c r="I453" s="36"/>
      <c r="J453" s="37"/>
      <c r="K453" s="18"/>
      <c r="L453" s="28" t="str">
        <f t="shared" si="66"/>
        <v/>
      </c>
      <c r="M453" s="29" t="str">
        <f t="shared" si="67"/>
        <v/>
      </c>
      <c r="N453" s="29" t="str">
        <f t="shared" si="68"/>
        <v/>
      </c>
      <c r="O453" s="30" t="str">
        <f t="shared" si="69"/>
        <v/>
      </c>
      <c r="P453" s="28" t="str">
        <f>IF($C453="","",IFERROR(INDEX(CA_TG,MATCH(B453,DS_CA,0))-INDEX(CA_NGHI,MATCH(B453,DS_CA,0))-SUMIFS('3 Nhật ký dừng máy'!$I$6:$I$1005,'3 Nhật ký dừng máy'!$A$6:$A$1005,$A453,'3 Nhật ký dừng máy'!$B$6:$B$1005,$B453,'3 Nhật ký dừng máy'!$C$6:$C$1005,$C453,'3 Nhật ký dừng máy'!$K$6:$K$1005,"Có kế hoạch"),"?"))</f>
        <v/>
      </c>
      <c r="Q453" s="28" t="str">
        <f>IF($C453="","",SUMIFS('3 Nhật ký dừng máy'!$I$6:$I$1005,'3 Nhật ký dừng máy'!$A$6:$A$1005,$A453,'3 Nhật ký dừng máy'!$B$6:$B$1005,$B453,'3 Nhật ký dừng máy'!$C$6:$C$1005,$C453,'3 Nhật ký dừng máy'!$K$6:$K$1005,"Ngoài kế hoạch"))</f>
        <v/>
      </c>
      <c r="R453" s="30" t="str">
        <f>IF($C453="","",COUNTIFS('3 Nhật ký dừng máy'!$A$6:$A$1005,$A453,'3 Nhật ký dừng máy'!$B$6:$B$1005,$B453,'3 Nhật ký dừng máy'!$C$6:$C$1005,$C453,'3 Nhật ký dừng máy'!$K$6:$K$1005,"Ngoài kế hoạch"))</f>
        <v/>
      </c>
      <c r="S453" s="31" t="str">
        <f t="shared" si="70"/>
        <v/>
      </c>
      <c r="T453" s="31" t="str">
        <f t="shared" si="71"/>
        <v/>
      </c>
      <c r="U453" s="31" t="str">
        <f t="shared" si="72"/>
        <v/>
      </c>
      <c r="V453" s="32" t="str">
        <f t="shared" si="73"/>
        <v/>
      </c>
      <c r="W453" s="30" t="str">
        <f t="shared" si="74"/>
        <v/>
      </c>
      <c r="X453" s="33" t="str">
        <f t="shared" si="75"/>
        <v/>
      </c>
      <c r="Y453" s="34" t="str">
        <f t="shared" si="76"/>
        <v/>
      </c>
    </row>
    <row r="454" spans="1:25" x14ac:dyDescent="0.2">
      <c r="A454" s="35"/>
      <c r="B454" s="21"/>
      <c r="C454" s="18"/>
      <c r="D454" s="21"/>
      <c r="E454" s="21"/>
      <c r="F454" s="21"/>
      <c r="G454" s="36"/>
      <c r="H454" s="36"/>
      <c r="I454" s="36"/>
      <c r="J454" s="37"/>
      <c r="K454" s="18"/>
      <c r="L454" s="28" t="str">
        <f t="shared" ref="L454:L505" si="77">IF($C454="","",H454-I454)</f>
        <v/>
      </c>
      <c r="M454" s="29" t="str">
        <f t="shared" ref="M454:M517" si="78">IF(OR($C454="",N(G454)&lt;=0),"",L454/G454)</f>
        <v/>
      </c>
      <c r="N454" s="29" t="str">
        <f t="shared" ref="N454:N505" si="79">IF(OR($C454="",N(H454)&lt;=0),"",I454/H454)</f>
        <v/>
      </c>
      <c r="O454" s="30" t="str">
        <f t="shared" ref="O454:O505" si="80">IF($C454="","",IFERROR(INDEX(MH_CT,MATCH(E454,DS_MH,0)),"?"))</f>
        <v/>
      </c>
      <c r="P454" s="28" t="str">
        <f>IF($C454="","",IFERROR(INDEX(CA_TG,MATCH(B454,DS_CA,0))-INDEX(CA_NGHI,MATCH(B454,DS_CA,0))-SUMIFS('3 Nhật ký dừng máy'!$I$6:$I$1005,'3 Nhật ký dừng máy'!$A$6:$A$1005,$A454,'3 Nhật ký dừng máy'!$B$6:$B$1005,$B454,'3 Nhật ký dừng máy'!$C$6:$C$1005,$C454,'3 Nhật ký dừng máy'!$K$6:$K$1005,"Có kế hoạch"),"?"))</f>
        <v/>
      </c>
      <c r="Q454" s="28" t="str">
        <f>IF($C454="","",SUMIFS('3 Nhật ký dừng máy'!$I$6:$I$1005,'3 Nhật ký dừng máy'!$A$6:$A$1005,$A454,'3 Nhật ký dừng máy'!$B$6:$B$1005,$B454,'3 Nhật ký dừng máy'!$C$6:$C$1005,$C454,'3 Nhật ký dừng máy'!$K$6:$K$1005,"Ngoài kế hoạch"))</f>
        <v/>
      </c>
      <c r="R454" s="30" t="str">
        <f>IF($C454="","",COUNTIFS('3 Nhật ký dừng máy'!$A$6:$A$1005,$A454,'3 Nhật ký dừng máy'!$B$6:$B$1005,$B454,'3 Nhật ký dừng máy'!$C$6:$C$1005,$C454,'3 Nhật ký dừng máy'!$K$6:$K$1005,"Ngoài kế hoạch"))</f>
        <v/>
      </c>
      <c r="S454" s="31" t="str">
        <f t="shared" ref="S454:S505" si="81">IF($C454="","",IFERROR(H454*O454/60,"?"))</f>
        <v/>
      </c>
      <c r="T454" s="31" t="str">
        <f t="shared" ref="T454:T517" si="82">IF($C454="","",IFERROR(P454-Q454-S454,"?"))</f>
        <v/>
      </c>
      <c r="U454" s="31" t="str">
        <f t="shared" ref="U454:U505" si="83">IF($C454="","",IFERROR(L454*O454/60,"?"))</f>
        <v/>
      </c>
      <c r="V454" s="32" t="str">
        <f t="shared" ref="V454:V517" si="84">IF($C454="","",IFERROR(U454/P454,"?"))</f>
        <v/>
      </c>
      <c r="W454" s="30" t="str">
        <f t="shared" ref="W454:W505" si="85">IF(OR($C454="",J454=""),"",INT(J454)-A454)</f>
        <v/>
      </c>
      <c r="X454" s="33" t="str">
        <f t="shared" ref="X454:X517" si="86">IF($C454="","",IFERROR(LEFT(IF(N(T454)&lt;0,"Nhanh hơn chu kỳ chuẩn — chuẩn đặt rộng?; ","")&amp;IF(D454="","Thiếu người đứng máy; ","")&amp;IF(R454=0,"Không ghi lần dừng nào; ","")&amp;IF(COUNTIF($Y$6:$Y$505,Y454)&gt;1,"Trùng dòng máy × ca; ",""),LEN(IF(N(T454)&lt;0,"Nhanh hơn chu kỳ chuẩn — chuẩn đặt rộng?; ","")&amp;IF(D454="","Thiếu người đứng máy; ","")&amp;IF(R454=0,"Không ghi lần dừng nào; ","")&amp;IF(COUNTIF($Y$6:$Y$505,Y454)&gt;1,"Trùng dòng máy × ca; ",""))-2),""))</f>
        <v/>
      </c>
      <c r="Y454" s="34" t="str">
        <f t="shared" ref="Y454:Y505" si="87">IF($C454="","",A454&amp;"|"&amp;B454&amp;"|"&amp;C454)</f>
        <v/>
      </c>
    </row>
    <row r="455" spans="1:25" x14ac:dyDescent="0.2">
      <c r="A455" s="35"/>
      <c r="B455" s="21"/>
      <c r="C455" s="18"/>
      <c r="D455" s="21"/>
      <c r="E455" s="21"/>
      <c r="F455" s="21"/>
      <c r="G455" s="36"/>
      <c r="H455" s="36"/>
      <c r="I455" s="36"/>
      <c r="J455" s="37"/>
      <c r="K455" s="18"/>
      <c r="L455" s="28" t="str">
        <f t="shared" si="77"/>
        <v/>
      </c>
      <c r="M455" s="29" t="str">
        <f t="shared" si="78"/>
        <v/>
      </c>
      <c r="N455" s="29" t="str">
        <f t="shared" si="79"/>
        <v/>
      </c>
      <c r="O455" s="30" t="str">
        <f t="shared" si="80"/>
        <v/>
      </c>
      <c r="P455" s="28" t="str">
        <f>IF($C455="","",IFERROR(INDEX(CA_TG,MATCH(B455,DS_CA,0))-INDEX(CA_NGHI,MATCH(B455,DS_CA,0))-SUMIFS('3 Nhật ký dừng máy'!$I$6:$I$1005,'3 Nhật ký dừng máy'!$A$6:$A$1005,$A455,'3 Nhật ký dừng máy'!$B$6:$B$1005,$B455,'3 Nhật ký dừng máy'!$C$6:$C$1005,$C455,'3 Nhật ký dừng máy'!$K$6:$K$1005,"Có kế hoạch"),"?"))</f>
        <v/>
      </c>
      <c r="Q455" s="28" t="str">
        <f>IF($C455="","",SUMIFS('3 Nhật ký dừng máy'!$I$6:$I$1005,'3 Nhật ký dừng máy'!$A$6:$A$1005,$A455,'3 Nhật ký dừng máy'!$B$6:$B$1005,$B455,'3 Nhật ký dừng máy'!$C$6:$C$1005,$C455,'3 Nhật ký dừng máy'!$K$6:$K$1005,"Ngoài kế hoạch"))</f>
        <v/>
      </c>
      <c r="R455" s="30" t="str">
        <f>IF($C455="","",COUNTIFS('3 Nhật ký dừng máy'!$A$6:$A$1005,$A455,'3 Nhật ký dừng máy'!$B$6:$B$1005,$B455,'3 Nhật ký dừng máy'!$C$6:$C$1005,$C455,'3 Nhật ký dừng máy'!$K$6:$K$1005,"Ngoài kế hoạch"))</f>
        <v/>
      </c>
      <c r="S455" s="31" t="str">
        <f t="shared" si="81"/>
        <v/>
      </c>
      <c r="T455" s="31" t="str">
        <f t="shared" si="82"/>
        <v/>
      </c>
      <c r="U455" s="31" t="str">
        <f t="shared" si="83"/>
        <v/>
      </c>
      <c r="V455" s="32" t="str">
        <f t="shared" si="84"/>
        <v/>
      </c>
      <c r="W455" s="30" t="str">
        <f t="shared" si="85"/>
        <v/>
      </c>
      <c r="X455" s="33" t="str">
        <f t="shared" si="86"/>
        <v/>
      </c>
      <c r="Y455" s="34" t="str">
        <f t="shared" si="87"/>
        <v/>
      </c>
    </row>
    <row r="456" spans="1:25" x14ac:dyDescent="0.2">
      <c r="A456" s="35"/>
      <c r="B456" s="21"/>
      <c r="C456" s="18"/>
      <c r="D456" s="21"/>
      <c r="E456" s="21"/>
      <c r="F456" s="21"/>
      <c r="G456" s="36"/>
      <c r="H456" s="36"/>
      <c r="I456" s="36"/>
      <c r="J456" s="37"/>
      <c r="K456" s="18"/>
      <c r="L456" s="28" t="str">
        <f t="shared" si="77"/>
        <v/>
      </c>
      <c r="M456" s="29" t="str">
        <f t="shared" si="78"/>
        <v/>
      </c>
      <c r="N456" s="29" t="str">
        <f t="shared" si="79"/>
        <v/>
      </c>
      <c r="O456" s="30" t="str">
        <f t="shared" si="80"/>
        <v/>
      </c>
      <c r="P456" s="28" t="str">
        <f>IF($C456="","",IFERROR(INDEX(CA_TG,MATCH(B456,DS_CA,0))-INDEX(CA_NGHI,MATCH(B456,DS_CA,0))-SUMIFS('3 Nhật ký dừng máy'!$I$6:$I$1005,'3 Nhật ký dừng máy'!$A$6:$A$1005,$A456,'3 Nhật ký dừng máy'!$B$6:$B$1005,$B456,'3 Nhật ký dừng máy'!$C$6:$C$1005,$C456,'3 Nhật ký dừng máy'!$K$6:$K$1005,"Có kế hoạch"),"?"))</f>
        <v/>
      </c>
      <c r="Q456" s="28" t="str">
        <f>IF($C456="","",SUMIFS('3 Nhật ký dừng máy'!$I$6:$I$1005,'3 Nhật ký dừng máy'!$A$6:$A$1005,$A456,'3 Nhật ký dừng máy'!$B$6:$B$1005,$B456,'3 Nhật ký dừng máy'!$C$6:$C$1005,$C456,'3 Nhật ký dừng máy'!$K$6:$K$1005,"Ngoài kế hoạch"))</f>
        <v/>
      </c>
      <c r="R456" s="30" t="str">
        <f>IF($C456="","",COUNTIFS('3 Nhật ký dừng máy'!$A$6:$A$1005,$A456,'3 Nhật ký dừng máy'!$B$6:$B$1005,$B456,'3 Nhật ký dừng máy'!$C$6:$C$1005,$C456,'3 Nhật ký dừng máy'!$K$6:$K$1005,"Ngoài kế hoạch"))</f>
        <v/>
      </c>
      <c r="S456" s="31" t="str">
        <f t="shared" si="81"/>
        <v/>
      </c>
      <c r="T456" s="31" t="str">
        <f t="shared" si="82"/>
        <v/>
      </c>
      <c r="U456" s="31" t="str">
        <f t="shared" si="83"/>
        <v/>
      </c>
      <c r="V456" s="32" t="str">
        <f t="shared" si="84"/>
        <v/>
      </c>
      <c r="W456" s="30" t="str">
        <f t="shared" si="85"/>
        <v/>
      </c>
      <c r="X456" s="33" t="str">
        <f t="shared" si="86"/>
        <v/>
      </c>
      <c r="Y456" s="34" t="str">
        <f t="shared" si="87"/>
        <v/>
      </c>
    </row>
    <row r="457" spans="1:25" x14ac:dyDescent="0.2">
      <c r="A457" s="35"/>
      <c r="B457" s="21"/>
      <c r="C457" s="18"/>
      <c r="D457" s="21"/>
      <c r="E457" s="21"/>
      <c r="F457" s="21"/>
      <c r="G457" s="36"/>
      <c r="H457" s="36"/>
      <c r="I457" s="36"/>
      <c r="J457" s="37"/>
      <c r="K457" s="18"/>
      <c r="L457" s="28" t="str">
        <f t="shared" si="77"/>
        <v/>
      </c>
      <c r="M457" s="29" t="str">
        <f t="shared" si="78"/>
        <v/>
      </c>
      <c r="N457" s="29" t="str">
        <f t="shared" si="79"/>
        <v/>
      </c>
      <c r="O457" s="30" t="str">
        <f t="shared" si="80"/>
        <v/>
      </c>
      <c r="P457" s="28" t="str">
        <f>IF($C457="","",IFERROR(INDEX(CA_TG,MATCH(B457,DS_CA,0))-INDEX(CA_NGHI,MATCH(B457,DS_CA,0))-SUMIFS('3 Nhật ký dừng máy'!$I$6:$I$1005,'3 Nhật ký dừng máy'!$A$6:$A$1005,$A457,'3 Nhật ký dừng máy'!$B$6:$B$1005,$B457,'3 Nhật ký dừng máy'!$C$6:$C$1005,$C457,'3 Nhật ký dừng máy'!$K$6:$K$1005,"Có kế hoạch"),"?"))</f>
        <v/>
      </c>
      <c r="Q457" s="28" t="str">
        <f>IF($C457="","",SUMIFS('3 Nhật ký dừng máy'!$I$6:$I$1005,'3 Nhật ký dừng máy'!$A$6:$A$1005,$A457,'3 Nhật ký dừng máy'!$B$6:$B$1005,$B457,'3 Nhật ký dừng máy'!$C$6:$C$1005,$C457,'3 Nhật ký dừng máy'!$K$6:$K$1005,"Ngoài kế hoạch"))</f>
        <v/>
      </c>
      <c r="R457" s="30" t="str">
        <f>IF($C457="","",COUNTIFS('3 Nhật ký dừng máy'!$A$6:$A$1005,$A457,'3 Nhật ký dừng máy'!$B$6:$B$1005,$B457,'3 Nhật ký dừng máy'!$C$6:$C$1005,$C457,'3 Nhật ký dừng máy'!$K$6:$K$1005,"Ngoài kế hoạch"))</f>
        <v/>
      </c>
      <c r="S457" s="31" t="str">
        <f t="shared" si="81"/>
        <v/>
      </c>
      <c r="T457" s="31" t="str">
        <f t="shared" si="82"/>
        <v/>
      </c>
      <c r="U457" s="31" t="str">
        <f t="shared" si="83"/>
        <v/>
      </c>
      <c r="V457" s="32" t="str">
        <f t="shared" si="84"/>
        <v/>
      </c>
      <c r="W457" s="30" t="str">
        <f t="shared" si="85"/>
        <v/>
      </c>
      <c r="X457" s="33" t="str">
        <f t="shared" si="86"/>
        <v/>
      </c>
      <c r="Y457" s="34" t="str">
        <f t="shared" si="87"/>
        <v/>
      </c>
    </row>
    <row r="458" spans="1:25" x14ac:dyDescent="0.2">
      <c r="A458" s="35"/>
      <c r="B458" s="21"/>
      <c r="C458" s="18"/>
      <c r="D458" s="21"/>
      <c r="E458" s="21"/>
      <c r="F458" s="21"/>
      <c r="G458" s="36"/>
      <c r="H458" s="36"/>
      <c r="I458" s="36"/>
      <c r="J458" s="37"/>
      <c r="K458" s="18"/>
      <c r="L458" s="28" t="str">
        <f t="shared" si="77"/>
        <v/>
      </c>
      <c r="M458" s="29" t="str">
        <f t="shared" si="78"/>
        <v/>
      </c>
      <c r="N458" s="29" t="str">
        <f t="shared" si="79"/>
        <v/>
      </c>
      <c r="O458" s="30" t="str">
        <f t="shared" si="80"/>
        <v/>
      </c>
      <c r="P458" s="28" t="str">
        <f>IF($C458="","",IFERROR(INDEX(CA_TG,MATCH(B458,DS_CA,0))-INDEX(CA_NGHI,MATCH(B458,DS_CA,0))-SUMIFS('3 Nhật ký dừng máy'!$I$6:$I$1005,'3 Nhật ký dừng máy'!$A$6:$A$1005,$A458,'3 Nhật ký dừng máy'!$B$6:$B$1005,$B458,'3 Nhật ký dừng máy'!$C$6:$C$1005,$C458,'3 Nhật ký dừng máy'!$K$6:$K$1005,"Có kế hoạch"),"?"))</f>
        <v/>
      </c>
      <c r="Q458" s="28" t="str">
        <f>IF($C458="","",SUMIFS('3 Nhật ký dừng máy'!$I$6:$I$1005,'3 Nhật ký dừng máy'!$A$6:$A$1005,$A458,'3 Nhật ký dừng máy'!$B$6:$B$1005,$B458,'3 Nhật ký dừng máy'!$C$6:$C$1005,$C458,'3 Nhật ký dừng máy'!$K$6:$K$1005,"Ngoài kế hoạch"))</f>
        <v/>
      </c>
      <c r="R458" s="30" t="str">
        <f>IF($C458="","",COUNTIFS('3 Nhật ký dừng máy'!$A$6:$A$1005,$A458,'3 Nhật ký dừng máy'!$B$6:$B$1005,$B458,'3 Nhật ký dừng máy'!$C$6:$C$1005,$C458,'3 Nhật ký dừng máy'!$K$6:$K$1005,"Ngoài kế hoạch"))</f>
        <v/>
      </c>
      <c r="S458" s="31" t="str">
        <f t="shared" si="81"/>
        <v/>
      </c>
      <c r="T458" s="31" t="str">
        <f t="shared" si="82"/>
        <v/>
      </c>
      <c r="U458" s="31" t="str">
        <f t="shared" si="83"/>
        <v/>
      </c>
      <c r="V458" s="32" t="str">
        <f t="shared" si="84"/>
        <v/>
      </c>
      <c r="W458" s="30" t="str">
        <f t="shared" si="85"/>
        <v/>
      </c>
      <c r="X458" s="33" t="str">
        <f t="shared" si="86"/>
        <v/>
      </c>
      <c r="Y458" s="34" t="str">
        <f t="shared" si="87"/>
        <v/>
      </c>
    </row>
    <row r="459" spans="1:25" x14ac:dyDescent="0.2">
      <c r="A459" s="35"/>
      <c r="B459" s="21"/>
      <c r="C459" s="18"/>
      <c r="D459" s="21"/>
      <c r="E459" s="21"/>
      <c r="F459" s="21"/>
      <c r="G459" s="36"/>
      <c r="H459" s="36"/>
      <c r="I459" s="36"/>
      <c r="J459" s="37"/>
      <c r="K459" s="18"/>
      <c r="L459" s="28" t="str">
        <f t="shared" si="77"/>
        <v/>
      </c>
      <c r="M459" s="29" t="str">
        <f t="shared" si="78"/>
        <v/>
      </c>
      <c r="N459" s="29" t="str">
        <f t="shared" si="79"/>
        <v/>
      </c>
      <c r="O459" s="30" t="str">
        <f t="shared" si="80"/>
        <v/>
      </c>
      <c r="P459" s="28" t="str">
        <f>IF($C459="","",IFERROR(INDEX(CA_TG,MATCH(B459,DS_CA,0))-INDEX(CA_NGHI,MATCH(B459,DS_CA,0))-SUMIFS('3 Nhật ký dừng máy'!$I$6:$I$1005,'3 Nhật ký dừng máy'!$A$6:$A$1005,$A459,'3 Nhật ký dừng máy'!$B$6:$B$1005,$B459,'3 Nhật ký dừng máy'!$C$6:$C$1005,$C459,'3 Nhật ký dừng máy'!$K$6:$K$1005,"Có kế hoạch"),"?"))</f>
        <v/>
      </c>
      <c r="Q459" s="28" t="str">
        <f>IF($C459="","",SUMIFS('3 Nhật ký dừng máy'!$I$6:$I$1005,'3 Nhật ký dừng máy'!$A$6:$A$1005,$A459,'3 Nhật ký dừng máy'!$B$6:$B$1005,$B459,'3 Nhật ký dừng máy'!$C$6:$C$1005,$C459,'3 Nhật ký dừng máy'!$K$6:$K$1005,"Ngoài kế hoạch"))</f>
        <v/>
      </c>
      <c r="R459" s="30" t="str">
        <f>IF($C459="","",COUNTIFS('3 Nhật ký dừng máy'!$A$6:$A$1005,$A459,'3 Nhật ký dừng máy'!$B$6:$B$1005,$B459,'3 Nhật ký dừng máy'!$C$6:$C$1005,$C459,'3 Nhật ký dừng máy'!$K$6:$K$1005,"Ngoài kế hoạch"))</f>
        <v/>
      </c>
      <c r="S459" s="31" t="str">
        <f t="shared" si="81"/>
        <v/>
      </c>
      <c r="T459" s="31" t="str">
        <f t="shared" si="82"/>
        <v/>
      </c>
      <c r="U459" s="31" t="str">
        <f t="shared" si="83"/>
        <v/>
      </c>
      <c r="V459" s="32" t="str">
        <f t="shared" si="84"/>
        <v/>
      </c>
      <c r="W459" s="30" t="str">
        <f t="shared" si="85"/>
        <v/>
      </c>
      <c r="X459" s="33" t="str">
        <f t="shared" si="86"/>
        <v/>
      </c>
      <c r="Y459" s="34" t="str">
        <f t="shared" si="87"/>
        <v/>
      </c>
    </row>
    <row r="460" spans="1:25" x14ac:dyDescent="0.2">
      <c r="A460" s="35"/>
      <c r="B460" s="21"/>
      <c r="C460" s="18"/>
      <c r="D460" s="21"/>
      <c r="E460" s="21"/>
      <c r="F460" s="21"/>
      <c r="G460" s="36"/>
      <c r="H460" s="36"/>
      <c r="I460" s="36"/>
      <c r="J460" s="37"/>
      <c r="K460" s="18"/>
      <c r="L460" s="28" t="str">
        <f t="shared" si="77"/>
        <v/>
      </c>
      <c r="M460" s="29" t="str">
        <f t="shared" si="78"/>
        <v/>
      </c>
      <c r="N460" s="29" t="str">
        <f t="shared" si="79"/>
        <v/>
      </c>
      <c r="O460" s="30" t="str">
        <f t="shared" si="80"/>
        <v/>
      </c>
      <c r="P460" s="28" t="str">
        <f>IF($C460="","",IFERROR(INDEX(CA_TG,MATCH(B460,DS_CA,0))-INDEX(CA_NGHI,MATCH(B460,DS_CA,0))-SUMIFS('3 Nhật ký dừng máy'!$I$6:$I$1005,'3 Nhật ký dừng máy'!$A$6:$A$1005,$A460,'3 Nhật ký dừng máy'!$B$6:$B$1005,$B460,'3 Nhật ký dừng máy'!$C$6:$C$1005,$C460,'3 Nhật ký dừng máy'!$K$6:$K$1005,"Có kế hoạch"),"?"))</f>
        <v/>
      </c>
      <c r="Q460" s="28" t="str">
        <f>IF($C460="","",SUMIFS('3 Nhật ký dừng máy'!$I$6:$I$1005,'3 Nhật ký dừng máy'!$A$6:$A$1005,$A460,'3 Nhật ký dừng máy'!$B$6:$B$1005,$B460,'3 Nhật ký dừng máy'!$C$6:$C$1005,$C460,'3 Nhật ký dừng máy'!$K$6:$K$1005,"Ngoài kế hoạch"))</f>
        <v/>
      </c>
      <c r="R460" s="30" t="str">
        <f>IF($C460="","",COUNTIFS('3 Nhật ký dừng máy'!$A$6:$A$1005,$A460,'3 Nhật ký dừng máy'!$B$6:$B$1005,$B460,'3 Nhật ký dừng máy'!$C$6:$C$1005,$C460,'3 Nhật ký dừng máy'!$K$6:$K$1005,"Ngoài kế hoạch"))</f>
        <v/>
      </c>
      <c r="S460" s="31" t="str">
        <f t="shared" si="81"/>
        <v/>
      </c>
      <c r="T460" s="31" t="str">
        <f t="shared" si="82"/>
        <v/>
      </c>
      <c r="U460" s="31" t="str">
        <f t="shared" si="83"/>
        <v/>
      </c>
      <c r="V460" s="32" t="str">
        <f t="shared" si="84"/>
        <v/>
      </c>
      <c r="W460" s="30" t="str">
        <f t="shared" si="85"/>
        <v/>
      </c>
      <c r="X460" s="33" t="str">
        <f t="shared" si="86"/>
        <v/>
      </c>
      <c r="Y460" s="34" t="str">
        <f t="shared" si="87"/>
        <v/>
      </c>
    </row>
    <row r="461" spans="1:25" x14ac:dyDescent="0.2">
      <c r="A461" s="35"/>
      <c r="B461" s="21"/>
      <c r="C461" s="18"/>
      <c r="D461" s="21"/>
      <c r="E461" s="21"/>
      <c r="F461" s="21"/>
      <c r="G461" s="36"/>
      <c r="H461" s="36"/>
      <c r="I461" s="36"/>
      <c r="J461" s="37"/>
      <c r="K461" s="18"/>
      <c r="L461" s="28" t="str">
        <f t="shared" si="77"/>
        <v/>
      </c>
      <c r="M461" s="29" t="str">
        <f t="shared" si="78"/>
        <v/>
      </c>
      <c r="N461" s="29" t="str">
        <f t="shared" si="79"/>
        <v/>
      </c>
      <c r="O461" s="30" t="str">
        <f t="shared" si="80"/>
        <v/>
      </c>
      <c r="P461" s="28" t="str">
        <f>IF($C461="","",IFERROR(INDEX(CA_TG,MATCH(B461,DS_CA,0))-INDEX(CA_NGHI,MATCH(B461,DS_CA,0))-SUMIFS('3 Nhật ký dừng máy'!$I$6:$I$1005,'3 Nhật ký dừng máy'!$A$6:$A$1005,$A461,'3 Nhật ký dừng máy'!$B$6:$B$1005,$B461,'3 Nhật ký dừng máy'!$C$6:$C$1005,$C461,'3 Nhật ký dừng máy'!$K$6:$K$1005,"Có kế hoạch"),"?"))</f>
        <v/>
      </c>
      <c r="Q461" s="28" t="str">
        <f>IF($C461="","",SUMIFS('3 Nhật ký dừng máy'!$I$6:$I$1005,'3 Nhật ký dừng máy'!$A$6:$A$1005,$A461,'3 Nhật ký dừng máy'!$B$6:$B$1005,$B461,'3 Nhật ký dừng máy'!$C$6:$C$1005,$C461,'3 Nhật ký dừng máy'!$K$6:$K$1005,"Ngoài kế hoạch"))</f>
        <v/>
      </c>
      <c r="R461" s="30" t="str">
        <f>IF($C461="","",COUNTIFS('3 Nhật ký dừng máy'!$A$6:$A$1005,$A461,'3 Nhật ký dừng máy'!$B$6:$B$1005,$B461,'3 Nhật ký dừng máy'!$C$6:$C$1005,$C461,'3 Nhật ký dừng máy'!$K$6:$K$1005,"Ngoài kế hoạch"))</f>
        <v/>
      </c>
      <c r="S461" s="31" t="str">
        <f t="shared" si="81"/>
        <v/>
      </c>
      <c r="T461" s="31" t="str">
        <f t="shared" si="82"/>
        <v/>
      </c>
      <c r="U461" s="31" t="str">
        <f t="shared" si="83"/>
        <v/>
      </c>
      <c r="V461" s="32" t="str">
        <f t="shared" si="84"/>
        <v/>
      </c>
      <c r="W461" s="30" t="str">
        <f t="shared" si="85"/>
        <v/>
      </c>
      <c r="X461" s="33" t="str">
        <f t="shared" si="86"/>
        <v/>
      </c>
      <c r="Y461" s="34" t="str">
        <f t="shared" si="87"/>
        <v/>
      </c>
    </row>
    <row r="462" spans="1:25" x14ac:dyDescent="0.2">
      <c r="A462" s="35"/>
      <c r="B462" s="21"/>
      <c r="C462" s="18"/>
      <c r="D462" s="21"/>
      <c r="E462" s="21"/>
      <c r="F462" s="21"/>
      <c r="G462" s="36"/>
      <c r="H462" s="36"/>
      <c r="I462" s="36"/>
      <c r="J462" s="37"/>
      <c r="K462" s="18"/>
      <c r="L462" s="28" t="str">
        <f t="shared" si="77"/>
        <v/>
      </c>
      <c r="M462" s="29" t="str">
        <f t="shared" si="78"/>
        <v/>
      </c>
      <c r="N462" s="29" t="str">
        <f t="shared" si="79"/>
        <v/>
      </c>
      <c r="O462" s="30" t="str">
        <f t="shared" si="80"/>
        <v/>
      </c>
      <c r="P462" s="28" t="str">
        <f>IF($C462="","",IFERROR(INDEX(CA_TG,MATCH(B462,DS_CA,0))-INDEX(CA_NGHI,MATCH(B462,DS_CA,0))-SUMIFS('3 Nhật ký dừng máy'!$I$6:$I$1005,'3 Nhật ký dừng máy'!$A$6:$A$1005,$A462,'3 Nhật ký dừng máy'!$B$6:$B$1005,$B462,'3 Nhật ký dừng máy'!$C$6:$C$1005,$C462,'3 Nhật ký dừng máy'!$K$6:$K$1005,"Có kế hoạch"),"?"))</f>
        <v/>
      </c>
      <c r="Q462" s="28" t="str">
        <f>IF($C462="","",SUMIFS('3 Nhật ký dừng máy'!$I$6:$I$1005,'3 Nhật ký dừng máy'!$A$6:$A$1005,$A462,'3 Nhật ký dừng máy'!$B$6:$B$1005,$B462,'3 Nhật ký dừng máy'!$C$6:$C$1005,$C462,'3 Nhật ký dừng máy'!$K$6:$K$1005,"Ngoài kế hoạch"))</f>
        <v/>
      </c>
      <c r="R462" s="30" t="str">
        <f>IF($C462="","",COUNTIFS('3 Nhật ký dừng máy'!$A$6:$A$1005,$A462,'3 Nhật ký dừng máy'!$B$6:$B$1005,$B462,'3 Nhật ký dừng máy'!$C$6:$C$1005,$C462,'3 Nhật ký dừng máy'!$K$6:$K$1005,"Ngoài kế hoạch"))</f>
        <v/>
      </c>
      <c r="S462" s="31" t="str">
        <f t="shared" si="81"/>
        <v/>
      </c>
      <c r="T462" s="31" t="str">
        <f t="shared" si="82"/>
        <v/>
      </c>
      <c r="U462" s="31" t="str">
        <f t="shared" si="83"/>
        <v/>
      </c>
      <c r="V462" s="32" t="str">
        <f t="shared" si="84"/>
        <v/>
      </c>
      <c r="W462" s="30" t="str">
        <f t="shared" si="85"/>
        <v/>
      </c>
      <c r="X462" s="33" t="str">
        <f t="shared" si="86"/>
        <v/>
      </c>
      <c r="Y462" s="34" t="str">
        <f t="shared" si="87"/>
        <v/>
      </c>
    </row>
    <row r="463" spans="1:25" x14ac:dyDescent="0.2">
      <c r="A463" s="35"/>
      <c r="B463" s="21"/>
      <c r="C463" s="18"/>
      <c r="D463" s="21"/>
      <c r="E463" s="21"/>
      <c r="F463" s="21"/>
      <c r="G463" s="36"/>
      <c r="H463" s="36"/>
      <c r="I463" s="36"/>
      <c r="J463" s="37"/>
      <c r="K463" s="18"/>
      <c r="L463" s="28" t="str">
        <f t="shared" si="77"/>
        <v/>
      </c>
      <c r="M463" s="29" t="str">
        <f t="shared" si="78"/>
        <v/>
      </c>
      <c r="N463" s="29" t="str">
        <f t="shared" si="79"/>
        <v/>
      </c>
      <c r="O463" s="30" t="str">
        <f t="shared" si="80"/>
        <v/>
      </c>
      <c r="P463" s="28" t="str">
        <f>IF($C463="","",IFERROR(INDEX(CA_TG,MATCH(B463,DS_CA,0))-INDEX(CA_NGHI,MATCH(B463,DS_CA,0))-SUMIFS('3 Nhật ký dừng máy'!$I$6:$I$1005,'3 Nhật ký dừng máy'!$A$6:$A$1005,$A463,'3 Nhật ký dừng máy'!$B$6:$B$1005,$B463,'3 Nhật ký dừng máy'!$C$6:$C$1005,$C463,'3 Nhật ký dừng máy'!$K$6:$K$1005,"Có kế hoạch"),"?"))</f>
        <v/>
      </c>
      <c r="Q463" s="28" t="str">
        <f>IF($C463="","",SUMIFS('3 Nhật ký dừng máy'!$I$6:$I$1005,'3 Nhật ký dừng máy'!$A$6:$A$1005,$A463,'3 Nhật ký dừng máy'!$B$6:$B$1005,$B463,'3 Nhật ký dừng máy'!$C$6:$C$1005,$C463,'3 Nhật ký dừng máy'!$K$6:$K$1005,"Ngoài kế hoạch"))</f>
        <v/>
      </c>
      <c r="R463" s="30" t="str">
        <f>IF($C463="","",COUNTIFS('3 Nhật ký dừng máy'!$A$6:$A$1005,$A463,'3 Nhật ký dừng máy'!$B$6:$B$1005,$B463,'3 Nhật ký dừng máy'!$C$6:$C$1005,$C463,'3 Nhật ký dừng máy'!$K$6:$K$1005,"Ngoài kế hoạch"))</f>
        <v/>
      </c>
      <c r="S463" s="31" t="str">
        <f t="shared" si="81"/>
        <v/>
      </c>
      <c r="T463" s="31" t="str">
        <f t="shared" si="82"/>
        <v/>
      </c>
      <c r="U463" s="31" t="str">
        <f t="shared" si="83"/>
        <v/>
      </c>
      <c r="V463" s="32" t="str">
        <f t="shared" si="84"/>
        <v/>
      </c>
      <c r="W463" s="30" t="str">
        <f t="shared" si="85"/>
        <v/>
      </c>
      <c r="X463" s="33" t="str">
        <f t="shared" si="86"/>
        <v/>
      </c>
      <c r="Y463" s="34" t="str">
        <f t="shared" si="87"/>
        <v/>
      </c>
    </row>
    <row r="464" spans="1:25" x14ac:dyDescent="0.2">
      <c r="A464" s="35"/>
      <c r="B464" s="21"/>
      <c r="C464" s="18"/>
      <c r="D464" s="21"/>
      <c r="E464" s="21"/>
      <c r="F464" s="21"/>
      <c r="G464" s="36"/>
      <c r="H464" s="36"/>
      <c r="I464" s="36"/>
      <c r="J464" s="37"/>
      <c r="K464" s="18"/>
      <c r="L464" s="28" t="str">
        <f t="shared" si="77"/>
        <v/>
      </c>
      <c r="M464" s="29" t="str">
        <f t="shared" si="78"/>
        <v/>
      </c>
      <c r="N464" s="29" t="str">
        <f t="shared" si="79"/>
        <v/>
      </c>
      <c r="O464" s="30" t="str">
        <f t="shared" si="80"/>
        <v/>
      </c>
      <c r="P464" s="28" t="str">
        <f>IF($C464="","",IFERROR(INDEX(CA_TG,MATCH(B464,DS_CA,0))-INDEX(CA_NGHI,MATCH(B464,DS_CA,0))-SUMIFS('3 Nhật ký dừng máy'!$I$6:$I$1005,'3 Nhật ký dừng máy'!$A$6:$A$1005,$A464,'3 Nhật ký dừng máy'!$B$6:$B$1005,$B464,'3 Nhật ký dừng máy'!$C$6:$C$1005,$C464,'3 Nhật ký dừng máy'!$K$6:$K$1005,"Có kế hoạch"),"?"))</f>
        <v/>
      </c>
      <c r="Q464" s="28" t="str">
        <f>IF($C464="","",SUMIFS('3 Nhật ký dừng máy'!$I$6:$I$1005,'3 Nhật ký dừng máy'!$A$6:$A$1005,$A464,'3 Nhật ký dừng máy'!$B$6:$B$1005,$B464,'3 Nhật ký dừng máy'!$C$6:$C$1005,$C464,'3 Nhật ký dừng máy'!$K$6:$K$1005,"Ngoài kế hoạch"))</f>
        <v/>
      </c>
      <c r="R464" s="30" t="str">
        <f>IF($C464="","",COUNTIFS('3 Nhật ký dừng máy'!$A$6:$A$1005,$A464,'3 Nhật ký dừng máy'!$B$6:$B$1005,$B464,'3 Nhật ký dừng máy'!$C$6:$C$1005,$C464,'3 Nhật ký dừng máy'!$K$6:$K$1005,"Ngoài kế hoạch"))</f>
        <v/>
      </c>
      <c r="S464" s="31" t="str">
        <f t="shared" si="81"/>
        <v/>
      </c>
      <c r="T464" s="31" t="str">
        <f t="shared" si="82"/>
        <v/>
      </c>
      <c r="U464" s="31" t="str">
        <f t="shared" si="83"/>
        <v/>
      </c>
      <c r="V464" s="32" t="str">
        <f t="shared" si="84"/>
        <v/>
      </c>
      <c r="W464" s="30" t="str">
        <f t="shared" si="85"/>
        <v/>
      </c>
      <c r="X464" s="33" t="str">
        <f t="shared" si="86"/>
        <v/>
      </c>
      <c r="Y464" s="34" t="str">
        <f t="shared" si="87"/>
        <v/>
      </c>
    </row>
    <row r="465" spans="1:25" x14ac:dyDescent="0.2">
      <c r="A465" s="35"/>
      <c r="B465" s="21"/>
      <c r="C465" s="18"/>
      <c r="D465" s="21"/>
      <c r="E465" s="21"/>
      <c r="F465" s="21"/>
      <c r="G465" s="36"/>
      <c r="H465" s="36"/>
      <c r="I465" s="36"/>
      <c r="J465" s="37"/>
      <c r="K465" s="18"/>
      <c r="L465" s="28" t="str">
        <f t="shared" si="77"/>
        <v/>
      </c>
      <c r="M465" s="29" t="str">
        <f t="shared" si="78"/>
        <v/>
      </c>
      <c r="N465" s="29" t="str">
        <f t="shared" si="79"/>
        <v/>
      </c>
      <c r="O465" s="30" t="str">
        <f t="shared" si="80"/>
        <v/>
      </c>
      <c r="P465" s="28" t="str">
        <f>IF($C465="","",IFERROR(INDEX(CA_TG,MATCH(B465,DS_CA,0))-INDEX(CA_NGHI,MATCH(B465,DS_CA,0))-SUMIFS('3 Nhật ký dừng máy'!$I$6:$I$1005,'3 Nhật ký dừng máy'!$A$6:$A$1005,$A465,'3 Nhật ký dừng máy'!$B$6:$B$1005,$B465,'3 Nhật ký dừng máy'!$C$6:$C$1005,$C465,'3 Nhật ký dừng máy'!$K$6:$K$1005,"Có kế hoạch"),"?"))</f>
        <v/>
      </c>
      <c r="Q465" s="28" t="str">
        <f>IF($C465="","",SUMIFS('3 Nhật ký dừng máy'!$I$6:$I$1005,'3 Nhật ký dừng máy'!$A$6:$A$1005,$A465,'3 Nhật ký dừng máy'!$B$6:$B$1005,$B465,'3 Nhật ký dừng máy'!$C$6:$C$1005,$C465,'3 Nhật ký dừng máy'!$K$6:$K$1005,"Ngoài kế hoạch"))</f>
        <v/>
      </c>
      <c r="R465" s="30" t="str">
        <f>IF($C465="","",COUNTIFS('3 Nhật ký dừng máy'!$A$6:$A$1005,$A465,'3 Nhật ký dừng máy'!$B$6:$B$1005,$B465,'3 Nhật ký dừng máy'!$C$6:$C$1005,$C465,'3 Nhật ký dừng máy'!$K$6:$K$1005,"Ngoài kế hoạch"))</f>
        <v/>
      </c>
      <c r="S465" s="31" t="str">
        <f t="shared" si="81"/>
        <v/>
      </c>
      <c r="T465" s="31" t="str">
        <f t="shared" si="82"/>
        <v/>
      </c>
      <c r="U465" s="31" t="str">
        <f t="shared" si="83"/>
        <v/>
      </c>
      <c r="V465" s="32" t="str">
        <f t="shared" si="84"/>
        <v/>
      </c>
      <c r="W465" s="30" t="str">
        <f t="shared" si="85"/>
        <v/>
      </c>
      <c r="X465" s="33" t="str">
        <f t="shared" si="86"/>
        <v/>
      </c>
      <c r="Y465" s="34" t="str">
        <f t="shared" si="87"/>
        <v/>
      </c>
    </row>
    <row r="466" spans="1:25" x14ac:dyDescent="0.2">
      <c r="A466" s="35"/>
      <c r="B466" s="21"/>
      <c r="C466" s="18"/>
      <c r="D466" s="21"/>
      <c r="E466" s="21"/>
      <c r="F466" s="21"/>
      <c r="G466" s="36"/>
      <c r="H466" s="36"/>
      <c r="I466" s="36"/>
      <c r="J466" s="37"/>
      <c r="K466" s="18"/>
      <c r="L466" s="28" t="str">
        <f t="shared" si="77"/>
        <v/>
      </c>
      <c r="M466" s="29" t="str">
        <f t="shared" si="78"/>
        <v/>
      </c>
      <c r="N466" s="29" t="str">
        <f t="shared" si="79"/>
        <v/>
      </c>
      <c r="O466" s="30" t="str">
        <f t="shared" si="80"/>
        <v/>
      </c>
      <c r="P466" s="28" t="str">
        <f>IF($C466="","",IFERROR(INDEX(CA_TG,MATCH(B466,DS_CA,0))-INDEX(CA_NGHI,MATCH(B466,DS_CA,0))-SUMIFS('3 Nhật ký dừng máy'!$I$6:$I$1005,'3 Nhật ký dừng máy'!$A$6:$A$1005,$A466,'3 Nhật ký dừng máy'!$B$6:$B$1005,$B466,'3 Nhật ký dừng máy'!$C$6:$C$1005,$C466,'3 Nhật ký dừng máy'!$K$6:$K$1005,"Có kế hoạch"),"?"))</f>
        <v/>
      </c>
      <c r="Q466" s="28" t="str">
        <f>IF($C466="","",SUMIFS('3 Nhật ký dừng máy'!$I$6:$I$1005,'3 Nhật ký dừng máy'!$A$6:$A$1005,$A466,'3 Nhật ký dừng máy'!$B$6:$B$1005,$B466,'3 Nhật ký dừng máy'!$C$6:$C$1005,$C466,'3 Nhật ký dừng máy'!$K$6:$K$1005,"Ngoài kế hoạch"))</f>
        <v/>
      </c>
      <c r="R466" s="30" t="str">
        <f>IF($C466="","",COUNTIFS('3 Nhật ký dừng máy'!$A$6:$A$1005,$A466,'3 Nhật ký dừng máy'!$B$6:$B$1005,$B466,'3 Nhật ký dừng máy'!$C$6:$C$1005,$C466,'3 Nhật ký dừng máy'!$K$6:$K$1005,"Ngoài kế hoạch"))</f>
        <v/>
      </c>
      <c r="S466" s="31" t="str">
        <f t="shared" si="81"/>
        <v/>
      </c>
      <c r="T466" s="31" t="str">
        <f t="shared" si="82"/>
        <v/>
      </c>
      <c r="U466" s="31" t="str">
        <f t="shared" si="83"/>
        <v/>
      </c>
      <c r="V466" s="32" t="str">
        <f t="shared" si="84"/>
        <v/>
      </c>
      <c r="W466" s="30" t="str">
        <f t="shared" si="85"/>
        <v/>
      </c>
      <c r="X466" s="33" t="str">
        <f t="shared" si="86"/>
        <v/>
      </c>
      <c r="Y466" s="34" t="str">
        <f t="shared" si="87"/>
        <v/>
      </c>
    </row>
    <row r="467" spans="1:25" x14ac:dyDescent="0.2">
      <c r="A467" s="35"/>
      <c r="B467" s="21"/>
      <c r="C467" s="18"/>
      <c r="D467" s="21"/>
      <c r="E467" s="21"/>
      <c r="F467" s="21"/>
      <c r="G467" s="36"/>
      <c r="H467" s="36"/>
      <c r="I467" s="36"/>
      <c r="J467" s="37"/>
      <c r="K467" s="18"/>
      <c r="L467" s="28" t="str">
        <f t="shared" si="77"/>
        <v/>
      </c>
      <c r="M467" s="29" t="str">
        <f t="shared" si="78"/>
        <v/>
      </c>
      <c r="N467" s="29" t="str">
        <f t="shared" si="79"/>
        <v/>
      </c>
      <c r="O467" s="30" t="str">
        <f t="shared" si="80"/>
        <v/>
      </c>
      <c r="P467" s="28" t="str">
        <f>IF($C467="","",IFERROR(INDEX(CA_TG,MATCH(B467,DS_CA,0))-INDEX(CA_NGHI,MATCH(B467,DS_CA,0))-SUMIFS('3 Nhật ký dừng máy'!$I$6:$I$1005,'3 Nhật ký dừng máy'!$A$6:$A$1005,$A467,'3 Nhật ký dừng máy'!$B$6:$B$1005,$B467,'3 Nhật ký dừng máy'!$C$6:$C$1005,$C467,'3 Nhật ký dừng máy'!$K$6:$K$1005,"Có kế hoạch"),"?"))</f>
        <v/>
      </c>
      <c r="Q467" s="28" t="str">
        <f>IF($C467="","",SUMIFS('3 Nhật ký dừng máy'!$I$6:$I$1005,'3 Nhật ký dừng máy'!$A$6:$A$1005,$A467,'3 Nhật ký dừng máy'!$B$6:$B$1005,$B467,'3 Nhật ký dừng máy'!$C$6:$C$1005,$C467,'3 Nhật ký dừng máy'!$K$6:$K$1005,"Ngoài kế hoạch"))</f>
        <v/>
      </c>
      <c r="R467" s="30" t="str">
        <f>IF($C467="","",COUNTIFS('3 Nhật ký dừng máy'!$A$6:$A$1005,$A467,'3 Nhật ký dừng máy'!$B$6:$B$1005,$B467,'3 Nhật ký dừng máy'!$C$6:$C$1005,$C467,'3 Nhật ký dừng máy'!$K$6:$K$1005,"Ngoài kế hoạch"))</f>
        <v/>
      </c>
      <c r="S467" s="31" t="str">
        <f t="shared" si="81"/>
        <v/>
      </c>
      <c r="T467" s="31" t="str">
        <f t="shared" si="82"/>
        <v/>
      </c>
      <c r="U467" s="31" t="str">
        <f t="shared" si="83"/>
        <v/>
      </c>
      <c r="V467" s="32" t="str">
        <f t="shared" si="84"/>
        <v/>
      </c>
      <c r="W467" s="30" t="str">
        <f t="shared" si="85"/>
        <v/>
      </c>
      <c r="X467" s="33" t="str">
        <f t="shared" si="86"/>
        <v/>
      </c>
      <c r="Y467" s="34" t="str">
        <f t="shared" si="87"/>
        <v/>
      </c>
    </row>
    <row r="468" spans="1:25" x14ac:dyDescent="0.2">
      <c r="A468" s="35"/>
      <c r="B468" s="21"/>
      <c r="C468" s="18"/>
      <c r="D468" s="21"/>
      <c r="E468" s="21"/>
      <c r="F468" s="21"/>
      <c r="G468" s="36"/>
      <c r="H468" s="36"/>
      <c r="I468" s="36"/>
      <c r="J468" s="37"/>
      <c r="K468" s="18"/>
      <c r="L468" s="28" t="str">
        <f t="shared" si="77"/>
        <v/>
      </c>
      <c r="M468" s="29" t="str">
        <f t="shared" si="78"/>
        <v/>
      </c>
      <c r="N468" s="29" t="str">
        <f t="shared" si="79"/>
        <v/>
      </c>
      <c r="O468" s="30" t="str">
        <f t="shared" si="80"/>
        <v/>
      </c>
      <c r="P468" s="28" t="str">
        <f>IF($C468="","",IFERROR(INDEX(CA_TG,MATCH(B468,DS_CA,0))-INDEX(CA_NGHI,MATCH(B468,DS_CA,0))-SUMIFS('3 Nhật ký dừng máy'!$I$6:$I$1005,'3 Nhật ký dừng máy'!$A$6:$A$1005,$A468,'3 Nhật ký dừng máy'!$B$6:$B$1005,$B468,'3 Nhật ký dừng máy'!$C$6:$C$1005,$C468,'3 Nhật ký dừng máy'!$K$6:$K$1005,"Có kế hoạch"),"?"))</f>
        <v/>
      </c>
      <c r="Q468" s="28" t="str">
        <f>IF($C468="","",SUMIFS('3 Nhật ký dừng máy'!$I$6:$I$1005,'3 Nhật ký dừng máy'!$A$6:$A$1005,$A468,'3 Nhật ký dừng máy'!$B$6:$B$1005,$B468,'3 Nhật ký dừng máy'!$C$6:$C$1005,$C468,'3 Nhật ký dừng máy'!$K$6:$K$1005,"Ngoài kế hoạch"))</f>
        <v/>
      </c>
      <c r="R468" s="30" t="str">
        <f>IF($C468="","",COUNTIFS('3 Nhật ký dừng máy'!$A$6:$A$1005,$A468,'3 Nhật ký dừng máy'!$B$6:$B$1005,$B468,'3 Nhật ký dừng máy'!$C$6:$C$1005,$C468,'3 Nhật ký dừng máy'!$K$6:$K$1005,"Ngoài kế hoạch"))</f>
        <v/>
      </c>
      <c r="S468" s="31" t="str">
        <f t="shared" si="81"/>
        <v/>
      </c>
      <c r="T468" s="31" t="str">
        <f t="shared" si="82"/>
        <v/>
      </c>
      <c r="U468" s="31" t="str">
        <f t="shared" si="83"/>
        <v/>
      </c>
      <c r="V468" s="32" t="str">
        <f t="shared" si="84"/>
        <v/>
      </c>
      <c r="W468" s="30" t="str">
        <f t="shared" si="85"/>
        <v/>
      </c>
      <c r="X468" s="33" t="str">
        <f t="shared" si="86"/>
        <v/>
      </c>
      <c r="Y468" s="34" t="str">
        <f t="shared" si="87"/>
        <v/>
      </c>
    </row>
    <row r="469" spans="1:25" x14ac:dyDescent="0.2">
      <c r="A469" s="35"/>
      <c r="B469" s="21"/>
      <c r="C469" s="18"/>
      <c r="D469" s="21"/>
      <c r="E469" s="21"/>
      <c r="F469" s="21"/>
      <c r="G469" s="36"/>
      <c r="H469" s="36"/>
      <c r="I469" s="36"/>
      <c r="J469" s="37"/>
      <c r="K469" s="18"/>
      <c r="L469" s="28" t="str">
        <f t="shared" si="77"/>
        <v/>
      </c>
      <c r="M469" s="29" t="str">
        <f t="shared" si="78"/>
        <v/>
      </c>
      <c r="N469" s="29" t="str">
        <f t="shared" si="79"/>
        <v/>
      </c>
      <c r="O469" s="30" t="str">
        <f t="shared" si="80"/>
        <v/>
      </c>
      <c r="P469" s="28" t="str">
        <f>IF($C469="","",IFERROR(INDEX(CA_TG,MATCH(B469,DS_CA,0))-INDEX(CA_NGHI,MATCH(B469,DS_CA,0))-SUMIFS('3 Nhật ký dừng máy'!$I$6:$I$1005,'3 Nhật ký dừng máy'!$A$6:$A$1005,$A469,'3 Nhật ký dừng máy'!$B$6:$B$1005,$B469,'3 Nhật ký dừng máy'!$C$6:$C$1005,$C469,'3 Nhật ký dừng máy'!$K$6:$K$1005,"Có kế hoạch"),"?"))</f>
        <v/>
      </c>
      <c r="Q469" s="28" t="str">
        <f>IF($C469="","",SUMIFS('3 Nhật ký dừng máy'!$I$6:$I$1005,'3 Nhật ký dừng máy'!$A$6:$A$1005,$A469,'3 Nhật ký dừng máy'!$B$6:$B$1005,$B469,'3 Nhật ký dừng máy'!$C$6:$C$1005,$C469,'3 Nhật ký dừng máy'!$K$6:$K$1005,"Ngoài kế hoạch"))</f>
        <v/>
      </c>
      <c r="R469" s="30" t="str">
        <f>IF($C469="","",COUNTIFS('3 Nhật ký dừng máy'!$A$6:$A$1005,$A469,'3 Nhật ký dừng máy'!$B$6:$B$1005,$B469,'3 Nhật ký dừng máy'!$C$6:$C$1005,$C469,'3 Nhật ký dừng máy'!$K$6:$K$1005,"Ngoài kế hoạch"))</f>
        <v/>
      </c>
      <c r="S469" s="31" t="str">
        <f t="shared" si="81"/>
        <v/>
      </c>
      <c r="T469" s="31" t="str">
        <f t="shared" si="82"/>
        <v/>
      </c>
      <c r="U469" s="31" t="str">
        <f t="shared" si="83"/>
        <v/>
      </c>
      <c r="V469" s="32" t="str">
        <f t="shared" si="84"/>
        <v/>
      </c>
      <c r="W469" s="30" t="str">
        <f t="shared" si="85"/>
        <v/>
      </c>
      <c r="X469" s="33" t="str">
        <f t="shared" si="86"/>
        <v/>
      </c>
      <c r="Y469" s="34" t="str">
        <f t="shared" si="87"/>
        <v/>
      </c>
    </row>
    <row r="470" spans="1:25" x14ac:dyDescent="0.2">
      <c r="A470" s="35"/>
      <c r="B470" s="21"/>
      <c r="C470" s="18"/>
      <c r="D470" s="21"/>
      <c r="E470" s="21"/>
      <c r="F470" s="21"/>
      <c r="G470" s="36"/>
      <c r="H470" s="36"/>
      <c r="I470" s="36"/>
      <c r="J470" s="37"/>
      <c r="K470" s="18"/>
      <c r="L470" s="28" t="str">
        <f t="shared" si="77"/>
        <v/>
      </c>
      <c r="M470" s="29" t="str">
        <f t="shared" si="78"/>
        <v/>
      </c>
      <c r="N470" s="29" t="str">
        <f t="shared" si="79"/>
        <v/>
      </c>
      <c r="O470" s="30" t="str">
        <f t="shared" si="80"/>
        <v/>
      </c>
      <c r="P470" s="28" t="str">
        <f>IF($C470="","",IFERROR(INDEX(CA_TG,MATCH(B470,DS_CA,0))-INDEX(CA_NGHI,MATCH(B470,DS_CA,0))-SUMIFS('3 Nhật ký dừng máy'!$I$6:$I$1005,'3 Nhật ký dừng máy'!$A$6:$A$1005,$A470,'3 Nhật ký dừng máy'!$B$6:$B$1005,$B470,'3 Nhật ký dừng máy'!$C$6:$C$1005,$C470,'3 Nhật ký dừng máy'!$K$6:$K$1005,"Có kế hoạch"),"?"))</f>
        <v/>
      </c>
      <c r="Q470" s="28" t="str">
        <f>IF($C470="","",SUMIFS('3 Nhật ký dừng máy'!$I$6:$I$1005,'3 Nhật ký dừng máy'!$A$6:$A$1005,$A470,'3 Nhật ký dừng máy'!$B$6:$B$1005,$B470,'3 Nhật ký dừng máy'!$C$6:$C$1005,$C470,'3 Nhật ký dừng máy'!$K$6:$K$1005,"Ngoài kế hoạch"))</f>
        <v/>
      </c>
      <c r="R470" s="30" t="str">
        <f>IF($C470="","",COUNTIFS('3 Nhật ký dừng máy'!$A$6:$A$1005,$A470,'3 Nhật ký dừng máy'!$B$6:$B$1005,$B470,'3 Nhật ký dừng máy'!$C$6:$C$1005,$C470,'3 Nhật ký dừng máy'!$K$6:$K$1005,"Ngoài kế hoạch"))</f>
        <v/>
      </c>
      <c r="S470" s="31" t="str">
        <f t="shared" si="81"/>
        <v/>
      </c>
      <c r="T470" s="31" t="str">
        <f t="shared" si="82"/>
        <v/>
      </c>
      <c r="U470" s="31" t="str">
        <f t="shared" si="83"/>
        <v/>
      </c>
      <c r="V470" s="32" t="str">
        <f t="shared" si="84"/>
        <v/>
      </c>
      <c r="W470" s="30" t="str">
        <f t="shared" si="85"/>
        <v/>
      </c>
      <c r="X470" s="33" t="str">
        <f t="shared" si="86"/>
        <v/>
      </c>
      <c r="Y470" s="34" t="str">
        <f t="shared" si="87"/>
        <v/>
      </c>
    </row>
    <row r="471" spans="1:25" x14ac:dyDescent="0.2">
      <c r="A471" s="35"/>
      <c r="B471" s="21"/>
      <c r="C471" s="18"/>
      <c r="D471" s="21"/>
      <c r="E471" s="21"/>
      <c r="F471" s="21"/>
      <c r="G471" s="36"/>
      <c r="H471" s="36"/>
      <c r="I471" s="36"/>
      <c r="J471" s="37"/>
      <c r="K471" s="18"/>
      <c r="L471" s="28" t="str">
        <f t="shared" si="77"/>
        <v/>
      </c>
      <c r="M471" s="29" t="str">
        <f t="shared" si="78"/>
        <v/>
      </c>
      <c r="N471" s="29" t="str">
        <f t="shared" si="79"/>
        <v/>
      </c>
      <c r="O471" s="30" t="str">
        <f t="shared" si="80"/>
        <v/>
      </c>
      <c r="P471" s="28" t="str">
        <f>IF($C471="","",IFERROR(INDEX(CA_TG,MATCH(B471,DS_CA,0))-INDEX(CA_NGHI,MATCH(B471,DS_CA,0))-SUMIFS('3 Nhật ký dừng máy'!$I$6:$I$1005,'3 Nhật ký dừng máy'!$A$6:$A$1005,$A471,'3 Nhật ký dừng máy'!$B$6:$B$1005,$B471,'3 Nhật ký dừng máy'!$C$6:$C$1005,$C471,'3 Nhật ký dừng máy'!$K$6:$K$1005,"Có kế hoạch"),"?"))</f>
        <v/>
      </c>
      <c r="Q471" s="28" t="str">
        <f>IF($C471="","",SUMIFS('3 Nhật ký dừng máy'!$I$6:$I$1005,'3 Nhật ký dừng máy'!$A$6:$A$1005,$A471,'3 Nhật ký dừng máy'!$B$6:$B$1005,$B471,'3 Nhật ký dừng máy'!$C$6:$C$1005,$C471,'3 Nhật ký dừng máy'!$K$6:$K$1005,"Ngoài kế hoạch"))</f>
        <v/>
      </c>
      <c r="R471" s="30" t="str">
        <f>IF($C471="","",COUNTIFS('3 Nhật ký dừng máy'!$A$6:$A$1005,$A471,'3 Nhật ký dừng máy'!$B$6:$B$1005,$B471,'3 Nhật ký dừng máy'!$C$6:$C$1005,$C471,'3 Nhật ký dừng máy'!$K$6:$K$1005,"Ngoài kế hoạch"))</f>
        <v/>
      </c>
      <c r="S471" s="31" t="str">
        <f t="shared" si="81"/>
        <v/>
      </c>
      <c r="T471" s="31" t="str">
        <f t="shared" si="82"/>
        <v/>
      </c>
      <c r="U471" s="31" t="str">
        <f t="shared" si="83"/>
        <v/>
      </c>
      <c r="V471" s="32" t="str">
        <f t="shared" si="84"/>
        <v/>
      </c>
      <c r="W471" s="30" t="str">
        <f t="shared" si="85"/>
        <v/>
      </c>
      <c r="X471" s="33" t="str">
        <f t="shared" si="86"/>
        <v/>
      </c>
      <c r="Y471" s="34" t="str">
        <f t="shared" si="87"/>
        <v/>
      </c>
    </row>
    <row r="472" spans="1:25" x14ac:dyDescent="0.2">
      <c r="A472" s="35"/>
      <c r="B472" s="21"/>
      <c r="C472" s="18"/>
      <c r="D472" s="21"/>
      <c r="E472" s="21"/>
      <c r="F472" s="21"/>
      <c r="G472" s="36"/>
      <c r="H472" s="36"/>
      <c r="I472" s="36"/>
      <c r="J472" s="37"/>
      <c r="K472" s="18"/>
      <c r="L472" s="28" t="str">
        <f t="shared" si="77"/>
        <v/>
      </c>
      <c r="M472" s="29" t="str">
        <f t="shared" si="78"/>
        <v/>
      </c>
      <c r="N472" s="29" t="str">
        <f t="shared" si="79"/>
        <v/>
      </c>
      <c r="O472" s="30" t="str">
        <f t="shared" si="80"/>
        <v/>
      </c>
      <c r="P472" s="28" t="str">
        <f>IF($C472="","",IFERROR(INDEX(CA_TG,MATCH(B472,DS_CA,0))-INDEX(CA_NGHI,MATCH(B472,DS_CA,0))-SUMIFS('3 Nhật ký dừng máy'!$I$6:$I$1005,'3 Nhật ký dừng máy'!$A$6:$A$1005,$A472,'3 Nhật ký dừng máy'!$B$6:$B$1005,$B472,'3 Nhật ký dừng máy'!$C$6:$C$1005,$C472,'3 Nhật ký dừng máy'!$K$6:$K$1005,"Có kế hoạch"),"?"))</f>
        <v/>
      </c>
      <c r="Q472" s="28" t="str">
        <f>IF($C472="","",SUMIFS('3 Nhật ký dừng máy'!$I$6:$I$1005,'3 Nhật ký dừng máy'!$A$6:$A$1005,$A472,'3 Nhật ký dừng máy'!$B$6:$B$1005,$B472,'3 Nhật ký dừng máy'!$C$6:$C$1005,$C472,'3 Nhật ký dừng máy'!$K$6:$K$1005,"Ngoài kế hoạch"))</f>
        <v/>
      </c>
      <c r="R472" s="30" t="str">
        <f>IF($C472="","",COUNTIFS('3 Nhật ký dừng máy'!$A$6:$A$1005,$A472,'3 Nhật ký dừng máy'!$B$6:$B$1005,$B472,'3 Nhật ký dừng máy'!$C$6:$C$1005,$C472,'3 Nhật ký dừng máy'!$K$6:$K$1005,"Ngoài kế hoạch"))</f>
        <v/>
      </c>
      <c r="S472" s="31" t="str">
        <f t="shared" si="81"/>
        <v/>
      </c>
      <c r="T472" s="31" t="str">
        <f t="shared" si="82"/>
        <v/>
      </c>
      <c r="U472" s="31" t="str">
        <f t="shared" si="83"/>
        <v/>
      </c>
      <c r="V472" s="32" t="str">
        <f t="shared" si="84"/>
        <v/>
      </c>
      <c r="W472" s="30" t="str">
        <f t="shared" si="85"/>
        <v/>
      </c>
      <c r="X472" s="33" t="str">
        <f t="shared" si="86"/>
        <v/>
      </c>
      <c r="Y472" s="34" t="str">
        <f t="shared" si="87"/>
        <v/>
      </c>
    </row>
    <row r="473" spans="1:25" x14ac:dyDescent="0.2">
      <c r="A473" s="35"/>
      <c r="B473" s="21"/>
      <c r="C473" s="18"/>
      <c r="D473" s="21"/>
      <c r="E473" s="21"/>
      <c r="F473" s="21"/>
      <c r="G473" s="36"/>
      <c r="H473" s="36"/>
      <c r="I473" s="36"/>
      <c r="J473" s="37"/>
      <c r="K473" s="18"/>
      <c r="L473" s="28" t="str">
        <f t="shared" si="77"/>
        <v/>
      </c>
      <c r="M473" s="29" t="str">
        <f t="shared" si="78"/>
        <v/>
      </c>
      <c r="N473" s="29" t="str">
        <f t="shared" si="79"/>
        <v/>
      </c>
      <c r="O473" s="30" t="str">
        <f t="shared" si="80"/>
        <v/>
      </c>
      <c r="P473" s="28" t="str">
        <f>IF($C473="","",IFERROR(INDEX(CA_TG,MATCH(B473,DS_CA,0))-INDEX(CA_NGHI,MATCH(B473,DS_CA,0))-SUMIFS('3 Nhật ký dừng máy'!$I$6:$I$1005,'3 Nhật ký dừng máy'!$A$6:$A$1005,$A473,'3 Nhật ký dừng máy'!$B$6:$B$1005,$B473,'3 Nhật ký dừng máy'!$C$6:$C$1005,$C473,'3 Nhật ký dừng máy'!$K$6:$K$1005,"Có kế hoạch"),"?"))</f>
        <v/>
      </c>
      <c r="Q473" s="28" t="str">
        <f>IF($C473="","",SUMIFS('3 Nhật ký dừng máy'!$I$6:$I$1005,'3 Nhật ký dừng máy'!$A$6:$A$1005,$A473,'3 Nhật ký dừng máy'!$B$6:$B$1005,$B473,'3 Nhật ký dừng máy'!$C$6:$C$1005,$C473,'3 Nhật ký dừng máy'!$K$6:$K$1005,"Ngoài kế hoạch"))</f>
        <v/>
      </c>
      <c r="R473" s="30" t="str">
        <f>IF($C473="","",COUNTIFS('3 Nhật ký dừng máy'!$A$6:$A$1005,$A473,'3 Nhật ký dừng máy'!$B$6:$B$1005,$B473,'3 Nhật ký dừng máy'!$C$6:$C$1005,$C473,'3 Nhật ký dừng máy'!$K$6:$K$1005,"Ngoài kế hoạch"))</f>
        <v/>
      </c>
      <c r="S473" s="31" t="str">
        <f t="shared" si="81"/>
        <v/>
      </c>
      <c r="T473" s="31" t="str">
        <f t="shared" si="82"/>
        <v/>
      </c>
      <c r="U473" s="31" t="str">
        <f t="shared" si="83"/>
        <v/>
      </c>
      <c r="V473" s="32" t="str">
        <f t="shared" si="84"/>
        <v/>
      </c>
      <c r="W473" s="30" t="str">
        <f t="shared" si="85"/>
        <v/>
      </c>
      <c r="X473" s="33" t="str">
        <f t="shared" si="86"/>
        <v/>
      </c>
      <c r="Y473" s="34" t="str">
        <f t="shared" si="87"/>
        <v/>
      </c>
    </row>
    <row r="474" spans="1:25" x14ac:dyDescent="0.2">
      <c r="A474" s="35"/>
      <c r="B474" s="21"/>
      <c r="C474" s="18"/>
      <c r="D474" s="21"/>
      <c r="E474" s="21"/>
      <c r="F474" s="21"/>
      <c r="G474" s="36"/>
      <c r="H474" s="36"/>
      <c r="I474" s="36"/>
      <c r="J474" s="37"/>
      <c r="K474" s="18"/>
      <c r="L474" s="28" t="str">
        <f t="shared" si="77"/>
        <v/>
      </c>
      <c r="M474" s="29" t="str">
        <f t="shared" si="78"/>
        <v/>
      </c>
      <c r="N474" s="29" t="str">
        <f t="shared" si="79"/>
        <v/>
      </c>
      <c r="O474" s="30" t="str">
        <f t="shared" si="80"/>
        <v/>
      </c>
      <c r="P474" s="28" t="str">
        <f>IF($C474="","",IFERROR(INDEX(CA_TG,MATCH(B474,DS_CA,0))-INDEX(CA_NGHI,MATCH(B474,DS_CA,0))-SUMIFS('3 Nhật ký dừng máy'!$I$6:$I$1005,'3 Nhật ký dừng máy'!$A$6:$A$1005,$A474,'3 Nhật ký dừng máy'!$B$6:$B$1005,$B474,'3 Nhật ký dừng máy'!$C$6:$C$1005,$C474,'3 Nhật ký dừng máy'!$K$6:$K$1005,"Có kế hoạch"),"?"))</f>
        <v/>
      </c>
      <c r="Q474" s="28" t="str">
        <f>IF($C474="","",SUMIFS('3 Nhật ký dừng máy'!$I$6:$I$1005,'3 Nhật ký dừng máy'!$A$6:$A$1005,$A474,'3 Nhật ký dừng máy'!$B$6:$B$1005,$B474,'3 Nhật ký dừng máy'!$C$6:$C$1005,$C474,'3 Nhật ký dừng máy'!$K$6:$K$1005,"Ngoài kế hoạch"))</f>
        <v/>
      </c>
      <c r="R474" s="30" t="str">
        <f>IF($C474="","",COUNTIFS('3 Nhật ký dừng máy'!$A$6:$A$1005,$A474,'3 Nhật ký dừng máy'!$B$6:$B$1005,$B474,'3 Nhật ký dừng máy'!$C$6:$C$1005,$C474,'3 Nhật ký dừng máy'!$K$6:$K$1005,"Ngoài kế hoạch"))</f>
        <v/>
      </c>
      <c r="S474" s="31" t="str">
        <f t="shared" si="81"/>
        <v/>
      </c>
      <c r="T474" s="31" t="str">
        <f t="shared" si="82"/>
        <v/>
      </c>
      <c r="U474" s="31" t="str">
        <f t="shared" si="83"/>
        <v/>
      </c>
      <c r="V474" s="32" t="str">
        <f t="shared" si="84"/>
        <v/>
      </c>
      <c r="W474" s="30" t="str">
        <f t="shared" si="85"/>
        <v/>
      </c>
      <c r="X474" s="33" t="str">
        <f t="shared" si="86"/>
        <v/>
      </c>
      <c r="Y474" s="34" t="str">
        <f t="shared" si="87"/>
        <v/>
      </c>
    </row>
    <row r="475" spans="1:25" x14ac:dyDescent="0.2">
      <c r="A475" s="35"/>
      <c r="B475" s="21"/>
      <c r="C475" s="18"/>
      <c r="D475" s="21"/>
      <c r="E475" s="21"/>
      <c r="F475" s="21"/>
      <c r="G475" s="36"/>
      <c r="H475" s="36"/>
      <c r="I475" s="36"/>
      <c r="J475" s="37"/>
      <c r="K475" s="18"/>
      <c r="L475" s="28" t="str">
        <f t="shared" si="77"/>
        <v/>
      </c>
      <c r="M475" s="29" t="str">
        <f t="shared" si="78"/>
        <v/>
      </c>
      <c r="N475" s="29" t="str">
        <f t="shared" si="79"/>
        <v/>
      </c>
      <c r="O475" s="30" t="str">
        <f t="shared" si="80"/>
        <v/>
      </c>
      <c r="P475" s="28" t="str">
        <f>IF($C475="","",IFERROR(INDEX(CA_TG,MATCH(B475,DS_CA,0))-INDEX(CA_NGHI,MATCH(B475,DS_CA,0))-SUMIFS('3 Nhật ký dừng máy'!$I$6:$I$1005,'3 Nhật ký dừng máy'!$A$6:$A$1005,$A475,'3 Nhật ký dừng máy'!$B$6:$B$1005,$B475,'3 Nhật ký dừng máy'!$C$6:$C$1005,$C475,'3 Nhật ký dừng máy'!$K$6:$K$1005,"Có kế hoạch"),"?"))</f>
        <v/>
      </c>
      <c r="Q475" s="28" t="str">
        <f>IF($C475="","",SUMIFS('3 Nhật ký dừng máy'!$I$6:$I$1005,'3 Nhật ký dừng máy'!$A$6:$A$1005,$A475,'3 Nhật ký dừng máy'!$B$6:$B$1005,$B475,'3 Nhật ký dừng máy'!$C$6:$C$1005,$C475,'3 Nhật ký dừng máy'!$K$6:$K$1005,"Ngoài kế hoạch"))</f>
        <v/>
      </c>
      <c r="R475" s="30" t="str">
        <f>IF($C475="","",COUNTIFS('3 Nhật ký dừng máy'!$A$6:$A$1005,$A475,'3 Nhật ký dừng máy'!$B$6:$B$1005,$B475,'3 Nhật ký dừng máy'!$C$6:$C$1005,$C475,'3 Nhật ký dừng máy'!$K$6:$K$1005,"Ngoài kế hoạch"))</f>
        <v/>
      </c>
      <c r="S475" s="31" t="str">
        <f t="shared" si="81"/>
        <v/>
      </c>
      <c r="T475" s="31" t="str">
        <f t="shared" si="82"/>
        <v/>
      </c>
      <c r="U475" s="31" t="str">
        <f t="shared" si="83"/>
        <v/>
      </c>
      <c r="V475" s="32" t="str">
        <f t="shared" si="84"/>
        <v/>
      </c>
      <c r="W475" s="30" t="str">
        <f t="shared" si="85"/>
        <v/>
      </c>
      <c r="X475" s="33" t="str">
        <f t="shared" si="86"/>
        <v/>
      </c>
      <c r="Y475" s="34" t="str">
        <f t="shared" si="87"/>
        <v/>
      </c>
    </row>
    <row r="476" spans="1:25" x14ac:dyDescent="0.2">
      <c r="A476" s="35"/>
      <c r="B476" s="21"/>
      <c r="C476" s="18"/>
      <c r="D476" s="21"/>
      <c r="E476" s="21"/>
      <c r="F476" s="21"/>
      <c r="G476" s="36"/>
      <c r="H476" s="36"/>
      <c r="I476" s="36"/>
      <c r="J476" s="37"/>
      <c r="K476" s="18"/>
      <c r="L476" s="28" t="str">
        <f t="shared" si="77"/>
        <v/>
      </c>
      <c r="M476" s="29" t="str">
        <f t="shared" si="78"/>
        <v/>
      </c>
      <c r="N476" s="29" t="str">
        <f t="shared" si="79"/>
        <v/>
      </c>
      <c r="O476" s="30" t="str">
        <f t="shared" si="80"/>
        <v/>
      </c>
      <c r="P476" s="28" t="str">
        <f>IF($C476="","",IFERROR(INDEX(CA_TG,MATCH(B476,DS_CA,0))-INDEX(CA_NGHI,MATCH(B476,DS_CA,0))-SUMIFS('3 Nhật ký dừng máy'!$I$6:$I$1005,'3 Nhật ký dừng máy'!$A$6:$A$1005,$A476,'3 Nhật ký dừng máy'!$B$6:$B$1005,$B476,'3 Nhật ký dừng máy'!$C$6:$C$1005,$C476,'3 Nhật ký dừng máy'!$K$6:$K$1005,"Có kế hoạch"),"?"))</f>
        <v/>
      </c>
      <c r="Q476" s="28" t="str">
        <f>IF($C476="","",SUMIFS('3 Nhật ký dừng máy'!$I$6:$I$1005,'3 Nhật ký dừng máy'!$A$6:$A$1005,$A476,'3 Nhật ký dừng máy'!$B$6:$B$1005,$B476,'3 Nhật ký dừng máy'!$C$6:$C$1005,$C476,'3 Nhật ký dừng máy'!$K$6:$K$1005,"Ngoài kế hoạch"))</f>
        <v/>
      </c>
      <c r="R476" s="30" t="str">
        <f>IF($C476="","",COUNTIFS('3 Nhật ký dừng máy'!$A$6:$A$1005,$A476,'3 Nhật ký dừng máy'!$B$6:$B$1005,$B476,'3 Nhật ký dừng máy'!$C$6:$C$1005,$C476,'3 Nhật ký dừng máy'!$K$6:$K$1005,"Ngoài kế hoạch"))</f>
        <v/>
      </c>
      <c r="S476" s="31" t="str">
        <f t="shared" si="81"/>
        <v/>
      </c>
      <c r="T476" s="31" t="str">
        <f t="shared" si="82"/>
        <v/>
      </c>
      <c r="U476" s="31" t="str">
        <f t="shared" si="83"/>
        <v/>
      </c>
      <c r="V476" s="32" t="str">
        <f t="shared" si="84"/>
        <v/>
      </c>
      <c r="W476" s="30" t="str">
        <f t="shared" si="85"/>
        <v/>
      </c>
      <c r="X476" s="33" t="str">
        <f t="shared" si="86"/>
        <v/>
      </c>
      <c r="Y476" s="34" t="str">
        <f t="shared" si="87"/>
        <v/>
      </c>
    </row>
    <row r="477" spans="1:25" x14ac:dyDescent="0.2">
      <c r="A477" s="35"/>
      <c r="B477" s="21"/>
      <c r="C477" s="18"/>
      <c r="D477" s="21"/>
      <c r="E477" s="21"/>
      <c r="F477" s="21"/>
      <c r="G477" s="36"/>
      <c r="H477" s="36"/>
      <c r="I477" s="36"/>
      <c r="J477" s="37"/>
      <c r="K477" s="18"/>
      <c r="L477" s="28" t="str">
        <f t="shared" si="77"/>
        <v/>
      </c>
      <c r="M477" s="29" t="str">
        <f t="shared" si="78"/>
        <v/>
      </c>
      <c r="N477" s="29" t="str">
        <f t="shared" si="79"/>
        <v/>
      </c>
      <c r="O477" s="30" t="str">
        <f t="shared" si="80"/>
        <v/>
      </c>
      <c r="P477" s="28" t="str">
        <f>IF($C477="","",IFERROR(INDEX(CA_TG,MATCH(B477,DS_CA,0))-INDEX(CA_NGHI,MATCH(B477,DS_CA,0))-SUMIFS('3 Nhật ký dừng máy'!$I$6:$I$1005,'3 Nhật ký dừng máy'!$A$6:$A$1005,$A477,'3 Nhật ký dừng máy'!$B$6:$B$1005,$B477,'3 Nhật ký dừng máy'!$C$6:$C$1005,$C477,'3 Nhật ký dừng máy'!$K$6:$K$1005,"Có kế hoạch"),"?"))</f>
        <v/>
      </c>
      <c r="Q477" s="28" t="str">
        <f>IF($C477="","",SUMIFS('3 Nhật ký dừng máy'!$I$6:$I$1005,'3 Nhật ký dừng máy'!$A$6:$A$1005,$A477,'3 Nhật ký dừng máy'!$B$6:$B$1005,$B477,'3 Nhật ký dừng máy'!$C$6:$C$1005,$C477,'3 Nhật ký dừng máy'!$K$6:$K$1005,"Ngoài kế hoạch"))</f>
        <v/>
      </c>
      <c r="R477" s="30" t="str">
        <f>IF($C477="","",COUNTIFS('3 Nhật ký dừng máy'!$A$6:$A$1005,$A477,'3 Nhật ký dừng máy'!$B$6:$B$1005,$B477,'3 Nhật ký dừng máy'!$C$6:$C$1005,$C477,'3 Nhật ký dừng máy'!$K$6:$K$1005,"Ngoài kế hoạch"))</f>
        <v/>
      </c>
      <c r="S477" s="31" t="str">
        <f t="shared" si="81"/>
        <v/>
      </c>
      <c r="T477" s="31" t="str">
        <f t="shared" si="82"/>
        <v/>
      </c>
      <c r="U477" s="31" t="str">
        <f t="shared" si="83"/>
        <v/>
      </c>
      <c r="V477" s="32" t="str">
        <f t="shared" si="84"/>
        <v/>
      </c>
      <c r="W477" s="30" t="str">
        <f t="shared" si="85"/>
        <v/>
      </c>
      <c r="X477" s="33" t="str">
        <f t="shared" si="86"/>
        <v/>
      </c>
      <c r="Y477" s="34" t="str">
        <f t="shared" si="87"/>
        <v/>
      </c>
    </row>
    <row r="478" spans="1:25" x14ac:dyDescent="0.2">
      <c r="A478" s="35"/>
      <c r="B478" s="21"/>
      <c r="C478" s="18"/>
      <c r="D478" s="21"/>
      <c r="E478" s="21"/>
      <c r="F478" s="21"/>
      <c r="G478" s="36"/>
      <c r="H478" s="36"/>
      <c r="I478" s="36"/>
      <c r="J478" s="37"/>
      <c r="K478" s="18"/>
      <c r="L478" s="28" t="str">
        <f t="shared" si="77"/>
        <v/>
      </c>
      <c r="M478" s="29" t="str">
        <f t="shared" si="78"/>
        <v/>
      </c>
      <c r="N478" s="29" t="str">
        <f t="shared" si="79"/>
        <v/>
      </c>
      <c r="O478" s="30" t="str">
        <f t="shared" si="80"/>
        <v/>
      </c>
      <c r="P478" s="28" t="str">
        <f>IF($C478="","",IFERROR(INDEX(CA_TG,MATCH(B478,DS_CA,0))-INDEX(CA_NGHI,MATCH(B478,DS_CA,0))-SUMIFS('3 Nhật ký dừng máy'!$I$6:$I$1005,'3 Nhật ký dừng máy'!$A$6:$A$1005,$A478,'3 Nhật ký dừng máy'!$B$6:$B$1005,$B478,'3 Nhật ký dừng máy'!$C$6:$C$1005,$C478,'3 Nhật ký dừng máy'!$K$6:$K$1005,"Có kế hoạch"),"?"))</f>
        <v/>
      </c>
      <c r="Q478" s="28" t="str">
        <f>IF($C478="","",SUMIFS('3 Nhật ký dừng máy'!$I$6:$I$1005,'3 Nhật ký dừng máy'!$A$6:$A$1005,$A478,'3 Nhật ký dừng máy'!$B$6:$B$1005,$B478,'3 Nhật ký dừng máy'!$C$6:$C$1005,$C478,'3 Nhật ký dừng máy'!$K$6:$K$1005,"Ngoài kế hoạch"))</f>
        <v/>
      </c>
      <c r="R478" s="30" t="str">
        <f>IF($C478="","",COUNTIFS('3 Nhật ký dừng máy'!$A$6:$A$1005,$A478,'3 Nhật ký dừng máy'!$B$6:$B$1005,$B478,'3 Nhật ký dừng máy'!$C$6:$C$1005,$C478,'3 Nhật ký dừng máy'!$K$6:$K$1005,"Ngoài kế hoạch"))</f>
        <v/>
      </c>
      <c r="S478" s="31" t="str">
        <f t="shared" si="81"/>
        <v/>
      </c>
      <c r="T478" s="31" t="str">
        <f t="shared" si="82"/>
        <v/>
      </c>
      <c r="U478" s="31" t="str">
        <f t="shared" si="83"/>
        <v/>
      </c>
      <c r="V478" s="32" t="str">
        <f t="shared" si="84"/>
        <v/>
      </c>
      <c r="W478" s="30" t="str">
        <f t="shared" si="85"/>
        <v/>
      </c>
      <c r="X478" s="33" t="str">
        <f t="shared" si="86"/>
        <v/>
      </c>
      <c r="Y478" s="34" t="str">
        <f t="shared" si="87"/>
        <v/>
      </c>
    </row>
    <row r="479" spans="1:25" x14ac:dyDescent="0.2">
      <c r="A479" s="35"/>
      <c r="B479" s="21"/>
      <c r="C479" s="18"/>
      <c r="D479" s="21"/>
      <c r="E479" s="21"/>
      <c r="F479" s="21"/>
      <c r="G479" s="36"/>
      <c r="H479" s="36"/>
      <c r="I479" s="36"/>
      <c r="J479" s="37"/>
      <c r="K479" s="18"/>
      <c r="L479" s="28" t="str">
        <f t="shared" si="77"/>
        <v/>
      </c>
      <c r="M479" s="29" t="str">
        <f t="shared" si="78"/>
        <v/>
      </c>
      <c r="N479" s="29" t="str">
        <f t="shared" si="79"/>
        <v/>
      </c>
      <c r="O479" s="30" t="str">
        <f t="shared" si="80"/>
        <v/>
      </c>
      <c r="P479" s="28" t="str">
        <f>IF($C479="","",IFERROR(INDEX(CA_TG,MATCH(B479,DS_CA,0))-INDEX(CA_NGHI,MATCH(B479,DS_CA,0))-SUMIFS('3 Nhật ký dừng máy'!$I$6:$I$1005,'3 Nhật ký dừng máy'!$A$6:$A$1005,$A479,'3 Nhật ký dừng máy'!$B$6:$B$1005,$B479,'3 Nhật ký dừng máy'!$C$6:$C$1005,$C479,'3 Nhật ký dừng máy'!$K$6:$K$1005,"Có kế hoạch"),"?"))</f>
        <v/>
      </c>
      <c r="Q479" s="28" t="str">
        <f>IF($C479="","",SUMIFS('3 Nhật ký dừng máy'!$I$6:$I$1005,'3 Nhật ký dừng máy'!$A$6:$A$1005,$A479,'3 Nhật ký dừng máy'!$B$6:$B$1005,$B479,'3 Nhật ký dừng máy'!$C$6:$C$1005,$C479,'3 Nhật ký dừng máy'!$K$6:$K$1005,"Ngoài kế hoạch"))</f>
        <v/>
      </c>
      <c r="R479" s="30" t="str">
        <f>IF($C479="","",COUNTIFS('3 Nhật ký dừng máy'!$A$6:$A$1005,$A479,'3 Nhật ký dừng máy'!$B$6:$B$1005,$B479,'3 Nhật ký dừng máy'!$C$6:$C$1005,$C479,'3 Nhật ký dừng máy'!$K$6:$K$1005,"Ngoài kế hoạch"))</f>
        <v/>
      </c>
      <c r="S479" s="31" t="str">
        <f t="shared" si="81"/>
        <v/>
      </c>
      <c r="T479" s="31" t="str">
        <f t="shared" si="82"/>
        <v/>
      </c>
      <c r="U479" s="31" t="str">
        <f t="shared" si="83"/>
        <v/>
      </c>
      <c r="V479" s="32" t="str">
        <f t="shared" si="84"/>
        <v/>
      </c>
      <c r="W479" s="30" t="str">
        <f t="shared" si="85"/>
        <v/>
      </c>
      <c r="X479" s="33" t="str">
        <f t="shared" si="86"/>
        <v/>
      </c>
      <c r="Y479" s="34" t="str">
        <f t="shared" si="87"/>
        <v/>
      </c>
    </row>
    <row r="480" spans="1:25" x14ac:dyDescent="0.2">
      <c r="A480" s="35"/>
      <c r="B480" s="21"/>
      <c r="C480" s="18"/>
      <c r="D480" s="21"/>
      <c r="E480" s="21"/>
      <c r="F480" s="21"/>
      <c r="G480" s="36"/>
      <c r="H480" s="36"/>
      <c r="I480" s="36"/>
      <c r="J480" s="37"/>
      <c r="K480" s="18"/>
      <c r="L480" s="28" t="str">
        <f t="shared" si="77"/>
        <v/>
      </c>
      <c r="M480" s="29" t="str">
        <f t="shared" si="78"/>
        <v/>
      </c>
      <c r="N480" s="29" t="str">
        <f t="shared" si="79"/>
        <v/>
      </c>
      <c r="O480" s="30" t="str">
        <f t="shared" si="80"/>
        <v/>
      </c>
      <c r="P480" s="28" t="str">
        <f>IF($C480="","",IFERROR(INDEX(CA_TG,MATCH(B480,DS_CA,0))-INDEX(CA_NGHI,MATCH(B480,DS_CA,0))-SUMIFS('3 Nhật ký dừng máy'!$I$6:$I$1005,'3 Nhật ký dừng máy'!$A$6:$A$1005,$A480,'3 Nhật ký dừng máy'!$B$6:$B$1005,$B480,'3 Nhật ký dừng máy'!$C$6:$C$1005,$C480,'3 Nhật ký dừng máy'!$K$6:$K$1005,"Có kế hoạch"),"?"))</f>
        <v/>
      </c>
      <c r="Q480" s="28" t="str">
        <f>IF($C480="","",SUMIFS('3 Nhật ký dừng máy'!$I$6:$I$1005,'3 Nhật ký dừng máy'!$A$6:$A$1005,$A480,'3 Nhật ký dừng máy'!$B$6:$B$1005,$B480,'3 Nhật ký dừng máy'!$C$6:$C$1005,$C480,'3 Nhật ký dừng máy'!$K$6:$K$1005,"Ngoài kế hoạch"))</f>
        <v/>
      </c>
      <c r="R480" s="30" t="str">
        <f>IF($C480="","",COUNTIFS('3 Nhật ký dừng máy'!$A$6:$A$1005,$A480,'3 Nhật ký dừng máy'!$B$6:$B$1005,$B480,'3 Nhật ký dừng máy'!$C$6:$C$1005,$C480,'3 Nhật ký dừng máy'!$K$6:$K$1005,"Ngoài kế hoạch"))</f>
        <v/>
      </c>
      <c r="S480" s="31" t="str">
        <f t="shared" si="81"/>
        <v/>
      </c>
      <c r="T480" s="31" t="str">
        <f t="shared" si="82"/>
        <v/>
      </c>
      <c r="U480" s="31" t="str">
        <f t="shared" si="83"/>
        <v/>
      </c>
      <c r="V480" s="32" t="str">
        <f t="shared" si="84"/>
        <v/>
      </c>
      <c r="W480" s="30" t="str">
        <f t="shared" si="85"/>
        <v/>
      </c>
      <c r="X480" s="33" t="str">
        <f t="shared" si="86"/>
        <v/>
      </c>
      <c r="Y480" s="34" t="str">
        <f t="shared" si="87"/>
        <v/>
      </c>
    </row>
    <row r="481" spans="1:25" x14ac:dyDescent="0.2">
      <c r="A481" s="35"/>
      <c r="B481" s="21"/>
      <c r="C481" s="18"/>
      <c r="D481" s="21"/>
      <c r="E481" s="21"/>
      <c r="F481" s="21"/>
      <c r="G481" s="36"/>
      <c r="H481" s="36"/>
      <c r="I481" s="36"/>
      <c r="J481" s="37"/>
      <c r="K481" s="18"/>
      <c r="L481" s="28" t="str">
        <f t="shared" si="77"/>
        <v/>
      </c>
      <c r="M481" s="29" t="str">
        <f t="shared" si="78"/>
        <v/>
      </c>
      <c r="N481" s="29" t="str">
        <f t="shared" si="79"/>
        <v/>
      </c>
      <c r="O481" s="30" t="str">
        <f t="shared" si="80"/>
        <v/>
      </c>
      <c r="P481" s="28" t="str">
        <f>IF($C481="","",IFERROR(INDEX(CA_TG,MATCH(B481,DS_CA,0))-INDEX(CA_NGHI,MATCH(B481,DS_CA,0))-SUMIFS('3 Nhật ký dừng máy'!$I$6:$I$1005,'3 Nhật ký dừng máy'!$A$6:$A$1005,$A481,'3 Nhật ký dừng máy'!$B$6:$B$1005,$B481,'3 Nhật ký dừng máy'!$C$6:$C$1005,$C481,'3 Nhật ký dừng máy'!$K$6:$K$1005,"Có kế hoạch"),"?"))</f>
        <v/>
      </c>
      <c r="Q481" s="28" t="str">
        <f>IF($C481="","",SUMIFS('3 Nhật ký dừng máy'!$I$6:$I$1005,'3 Nhật ký dừng máy'!$A$6:$A$1005,$A481,'3 Nhật ký dừng máy'!$B$6:$B$1005,$B481,'3 Nhật ký dừng máy'!$C$6:$C$1005,$C481,'3 Nhật ký dừng máy'!$K$6:$K$1005,"Ngoài kế hoạch"))</f>
        <v/>
      </c>
      <c r="R481" s="30" t="str">
        <f>IF($C481="","",COUNTIFS('3 Nhật ký dừng máy'!$A$6:$A$1005,$A481,'3 Nhật ký dừng máy'!$B$6:$B$1005,$B481,'3 Nhật ký dừng máy'!$C$6:$C$1005,$C481,'3 Nhật ký dừng máy'!$K$6:$K$1005,"Ngoài kế hoạch"))</f>
        <v/>
      </c>
      <c r="S481" s="31" t="str">
        <f t="shared" si="81"/>
        <v/>
      </c>
      <c r="T481" s="31" t="str">
        <f t="shared" si="82"/>
        <v/>
      </c>
      <c r="U481" s="31" t="str">
        <f t="shared" si="83"/>
        <v/>
      </c>
      <c r="V481" s="32" t="str">
        <f t="shared" si="84"/>
        <v/>
      </c>
      <c r="W481" s="30" t="str">
        <f t="shared" si="85"/>
        <v/>
      </c>
      <c r="X481" s="33" t="str">
        <f t="shared" si="86"/>
        <v/>
      </c>
      <c r="Y481" s="34" t="str">
        <f t="shared" si="87"/>
        <v/>
      </c>
    </row>
    <row r="482" spans="1:25" x14ac:dyDescent="0.2">
      <c r="A482" s="35"/>
      <c r="B482" s="21"/>
      <c r="C482" s="18"/>
      <c r="D482" s="21"/>
      <c r="E482" s="21"/>
      <c r="F482" s="21"/>
      <c r="G482" s="36"/>
      <c r="H482" s="36"/>
      <c r="I482" s="36"/>
      <c r="J482" s="37"/>
      <c r="K482" s="18"/>
      <c r="L482" s="28" t="str">
        <f t="shared" si="77"/>
        <v/>
      </c>
      <c r="M482" s="29" t="str">
        <f t="shared" si="78"/>
        <v/>
      </c>
      <c r="N482" s="29" t="str">
        <f t="shared" si="79"/>
        <v/>
      </c>
      <c r="O482" s="30" t="str">
        <f t="shared" si="80"/>
        <v/>
      </c>
      <c r="P482" s="28" t="str">
        <f>IF($C482="","",IFERROR(INDEX(CA_TG,MATCH(B482,DS_CA,0))-INDEX(CA_NGHI,MATCH(B482,DS_CA,0))-SUMIFS('3 Nhật ký dừng máy'!$I$6:$I$1005,'3 Nhật ký dừng máy'!$A$6:$A$1005,$A482,'3 Nhật ký dừng máy'!$B$6:$B$1005,$B482,'3 Nhật ký dừng máy'!$C$6:$C$1005,$C482,'3 Nhật ký dừng máy'!$K$6:$K$1005,"Có kế hoạch"),"?"))</f>
        <v/>
      </c>
      <c r="Q482" s="28" t="str">
        <f>IF($C482="","",SUMIFS('3 Nhật ký dừng máy'!$I$6:$I$1005,'3 Nhật ký dừng máy'!$A$6:$A$1005,$A482,'3 Nhật ký dừng máy'!$B$6:$B$1005,$B482,'3 Nhật ký dừng máy'!$C$6:$C$1005,$C482,'3 Nhật ký dừng máy'!$K$6:$K$1005,"Ngoài kế hoạch"))</f>
        <v/>
      </c>
      <c r="R482" s="30" t="str">
        <f>IF($C482="","",COUNTIFS('3 Nhật ký dừng máy'!$A$6:$A$1005,$A482,'3 Nhật ký dừng máy'!$B$6:$B$1005,$B482,'3 Nhật ký dừng máy'!$C$6:$C$1005,$C482,'3 Nhật ký dừng máy'!$K$6:$K$1005,"Ngoài kế hoạch"))</f>
        <v/>
      </c>
      <c r="S482" s="31" t="str">
        <f t="shared" si="81"/>
        <v/>
      </c>
      <c r="T482" s="31" t="str">
        <f t="shared" si="82"/>
        <v/>
      </c>
      <c r="U482" s="31" t="str">
        <f t="shared" si="83"/>
        <v/>
      </c>
      <c r="V482" s="32" t="str">
        <f t="shared" si="84"/>
        <v/>
      </c>
      <c r="W482" s="30" t="str">
        <f t="shared" si="85"/>
        <v/>
      </c>
      <c r="X482" s="33" t="str">
        <f t="shared" si="86"/>
        <v/>
      </c>
      <c r="Y482" s="34" t="str">
        <f t="shared" si="87"/>
        <v/>
      </c>
    </row>
    <row r="483" spans="1:25" x14ac:dyDescent="0.2">
      <c r="A483" s="35"/>
      <c r="B483" s="21"/>
      <c r="C483" s="18"/>
      <c r="D483" s="21"/>
      <c r="E483" s="21"/>
      <c r="F483" s="21"/>
      <c r="G483" s="36"/>
      <c r="H483" s="36"/>
      <c r="I483" s="36"/>
      <c r="J483" s="37"/>
      <c r="K483" s="18"/>
      <c r="L483" s="28" t="str">
        <f t="shared" si="77"/>
        <v/>
      </c>
      <c r="M483" s="29" t="str">
        <f t="shared" si="78"/>
        <v/>
      </c>
      <c r="N483" s="29" t="str">
        <f t="shared" si="79"/>
        <v/>
      </c>
      <c r="O483" s="30" t="str">
        <f t="shared" si="80"/>
        <v/>
      </c>
      <c r="P483" s="28" t="str">
        <f>IF($C483="","",IFERROR(INDEX(CA_TG,MATCH(B483,DS_CA,0))-INDEX(CA_NGHI,MATCH(B483,DS_CA,0))-SUMIFS('3 Nhật ký dừng máy'!$I$6:$I$1005,'3 Nhật ký dừng máy'!$A$6:$A$1005,$A483,'3 Nhật ký dừng máy'!$B$6:$B$1005,$B483,'3 Nhật ký dừng máy'!$C$6:$C$1005,$C483,'3 Nhật ký dừng máy'!$K$6:$K$1005,"Có kế hoạch"),"?"))</f>
        <v/>
      </c>
      <c r="Q483" s="28" t="str">
        <f>IF($C483="","",SUMIFS('3 Nhật ký dừng máy'!$I$6:$I$1005,'3 Nhật ký dừng máy'!$A$6:$A$1005,$A483,'3 Nhật ký dừng máy'!$B$6:$B$1005,$B483,'3 Nhật ký dừng máy'!$C$6:$C$1005,$C483,'3 Nhật ký dừng máy'!$K$6:$K$1005,"Ngoài kế hoạch"))</f>
        <v/>
      </c>
      <c r="R483" s="30" t="str">
        <f>IF($C483="","",COUNTIFS('3 Nhật ký dừng máy'!$A$6:$A$1005,$A483,'3 Nhật ký dừng máy'!$B$6:$B$1005,$B483,'3 Nhật ký dừng máy'!$C$6:$C$1005,$C483,'3 Nhật ký dừng máy'!$K$6:$K$1005,"Ngoài kế hoạch"))</f>
        <v/>
      </c>
      <c r="S483" s="31" t="str">
        <f t="shared" si="81"/>
        <v/>
      </c>
      <c r="T483" s="31" t="str">
        <f t="shared" si="82"/>
        <v/>
      </c>
      <c r="U483" s="31" t="str">
        <f t="shared" si="83"/>
        <v/>
      </c>
      <c r="V483" s="32" t="str">
        <f t="shared" si="84"/>
        <v/>
      </c>
      <c r="W483" s="30" t="str">
        <f t="shared" si="85"/>
        <v/>
      </c>
      <c r="X483" s="33" t="str">
        <f t="shared" si="86"/>
        <v/>
      </c>
      <c r="Y483" s="34" t="str">
        <f t="shared" si="87"/>
        <v/>
      </c>
    </row>
    <row r="484" spans="1:25" x14ac:dyDescent="0.2">
      <c r="A484" s="35"/>
      <c r="B484" s="21"/>
      <c r="C484" s="18"/>
      <c r="D484" s="21"/>
      <c r="E484" s="21"/>
      <c r="F484" s="21"/>
      <c r="G484" s="36"/>
      <c r="H484" s="36"/>
      <c r="I484" s="36"/>
      <c r="J484" s="37"/>
      <c r="K484" s="18"/>
      <c r="L484" s="28" t="str">
        <f t="shared" si="77"/>
        <v/>
      </c>
      <c r="M484" s="29" t="str">
        <f t="shared" si="78"/>
        <v/>
      </c>
      <c r="N484" s="29" t="str">
        <f t="shared" si="79"/>
        <v/>
      </c>
      <c r="O484" s="30" t="str">
        <f t="shared" si="80"/>
        <v/>
      </c>
      <c r="P484" s="28" t="str">
        <f>IF($C484="","",IFERROR(INDEX(CA_TG,MATCH(B484,DS_CA,0))-INDEX(CA_NGHI,MATCH(B484,DS_CA,0))-SUMIFS('3 Nhật ký dừng máy'!$I$6:$I$1005,'3 Nhật ký dừng máy'!$A$6:$A$1005,$A484,'3 Nhật ký dừng máy'!$B$6:$B$1005,$B484,'3 Nhật ký dừng máy'!$C$6:$C$1005,$C484,'3 Nhật ký dừng máy'!$K$6:$K$1005,"Có kế hoạch"),"?"))</f>
        <v/>
      </c>
      <c r="Q484" s="28" t="str">
        <f>IF($C484="","",SUMIFS('3 Nhật ký dừng máy'!$I$6:$I$1005,'3 Nhật ký dừng máy'!$A$6:$A$1005,$A484,'3 Nhật ký dừng máy'!$B$6:$B$1005,$B484,'3 Nhật ký dừng máy'!$C$6:$C$1005,$C484,'3 Nhật ký dừng máy'!$K$6:$K$1005,"Ngoài kế hoạch"))</f>
        <v/>
      </c>
      <c r="R484" s="30" t="str">
        <f>IF($C484="","",COUNTIFS('3 Nhật ký dừng máy'!$A$6:$A$1005,$A484,'3 Nhật ký dừng máy'!$B$6:$B$1005,$B484,'3 Nhật ký dừng máy'!$C$6:$C$1005,$C484,'3 Nhật ký dừng máy'!$K$6:$K$1005,"Ngoài kế hoạch"))</f>
        <v/>
      </c>
      <c r="S484" s="31" t="str">
        <f t="shared" si="81"/>
        <v/>
      </c>
      <c r="T484" s="31" t="str">
        <f t="shared" si="82"/>
        <v/>
      </c>
      <c r="U484" s="31" t="str">
        <f t="shared" si="83"/>
        <v/>
      </c>
      <c r="V484" s="32" t="str">
        <f t="shared" si="84"/>
        <v/>
      </c>
      <c r="W484" s="30" t="str">
        <f t="shared" si="85"/>
        <v/>
      </c>
      <c r="X484" s="33" t="str">
        <f t="shared" si="86"/>
        <v/>
      </c>
      <c r="Y484" s="34" t="str">
        <f t="shared" si="87"/>
        <v/>
      </c>
    </row>
    <row r="485" spans="1:25" x14ac:dyDescent="0.2">
      <c r="A485" s="35"/>
      <c r="B485" s="21"/>
      <c r="C485" s="18"/>
      <c r="D485" s="21"/>
      <c r="E485" s="21"/>
      <c r="F485" s="21"/>
      <c r="G485" s="36"/>
      <c r="H485" s="36"/>
      <c r="I485" s="36"/>
      <c r="J485" s="37"/>
      <c r="K485" s="18"/>
      <c r="L485" s="28" t="str">
        <f t="shared" si="77"/>
        <v/>
      </c>
      <c r="M485" s="29" t="str">
        <f t="shared" si="78"/>
        <v/>
      </c>
      <c r="N485" s="29" t="str">
        <f t="shared" si="79"/>
        <v/>
      </c>
      <c r="O485" s="30" t="str">
        <f t="shared" si="80"/>
        <v/>
      </c>
      <c r="P485" s="28" t="str">
        <f>IF($C485="","",IFERROR(INDEX(CA_TG,MATCH(B485,DS_CA,0))-INDEX(CA_NGHI,MATCH(B485,DS_CA,0))-SUMIFS('3 Nhật ký dừng máy'!$I$6:$I$1005,'3 Nhật ký dừng máy'!$A$6:$A$1005,$A485,'3 Nhật ký dừng máy'!$B$6:$B$1005,$B485,'3 Nhật ký dừng máy'!$C$6:$C$1005,$C485,'3 Nhật ký dừng máy'!$K$6:$K$1005,"Có kế hoạch"),"?"))</f>
        <v/>
      </c>
      <c r="Q485" s="28" t="str">
        <f>IF($C485="","",SUMIFS('3 Nhật ký dừng máy'!$I$6:$I$1005,'3 Nhật ký dừng máy'!$A$6:$A$1005,$A485,'3 Nhật ký dừng máy'!$B$6:$B$1005,$B485,'3 Nhật ký dừng máy'!$C$6:$C$1005,$C485,'3 Nhật ký dừng máy'!$K$6:$K$1005,"Ngoài kế hoạch"))</f>
        <v/>
      </c>
      <c r="R485" s="30" t="str">
        <f>IF($C485="","",COUNTIFS('3 Nhật ký dừng máy'!$A$6:$A$1005,$A485,'3 Nhật ký dừng máy'!$B$6:$B$1005,$B485,'3 Nhật ký dừng máy'!$C$6:$C$1005,$C485,'3 Nhật ký dừng máy'!$K$6:$K$1005,"Ngoài kế hoạch"))</f>
        <v/>
      </c>
      <c r="S485" s="31" t="str">
        <f t="shared" si="81"/>
        <v/>
      </c>
      <c r="T485" s="31" t="str">
        <f t="shared" si="82"/>
        <v/>
      </c>
      <c r="U485" s="31" t="str">
        <f t="shared" si="83"/>
        <v/>
      </c>
      <c r="V485" s="32" t="str">
        <f t="shared" si="84"/>
        <v/>
      </c>
      <c r="W485" s="30" t="str">
        <f t="shared" si="85"/>
        <v/>
      </c>
      <c r="X485" s="33" t="str">
        <f t="shared" si="86"/>
        <v/>
      </c>
      <c r="Y485" s="34" t="str">
        <f t="shared" si="87"/>
        <v/>
      </c>
    </row>
    <row r="486" spans="1:25" x14ac:dyDescent="0.2">
      <c r="A486" s="35"/>
      <c r="B486" s="21"/>
      <c r="C486" s="18"/>
      <c r="D486" s="21"/>
      <c r="E486" s="21"/>
      <c r="F486" s="21"/>
      <c r="G486" s="36"/>
      <c r="H486" s="36"/>
      <c r="I486" s="36"/>
      <c r="J486" s="37"/>
      <c r="K486" s="18"/>
      <c r="L486" s="28" t="str">
        <f t="shared" si="77"/>
        <v/>
      </c>
      <c r="M486" s="29" t="str">
        <f t="shared" si="78"/>
        <v/>
      </c>
      <c r="N486" s="29" t="str">
        <f t="shared" si="79"/>
        <v/>
      </c>
      <c r="O486" s="30" t="str">
        <f t="shared" si="80"/>
        <v/>
      </c>
      <c r="P486" s="28" t="str">
        <f>IF($C486="","",IFERROR(INDEX(CA_TG,MATCH(B486,DS_CA,0))-INDEX(CA_NGHI,MATCH(B486,DS_CA,0))-SUMIFS('3 Nhật ký dừng máy'!$I$6:$I$1005,'3 Nhật ký dừng máy'!$A$6:$A$1005,$A486,'3 Nhật ký dừng máy'!$B$6:$B$1005,$B486,'3 Nhật ký dừng máy'!$C$6:$C$1005,$C486,'3 Nhật ký dừng máy'!$K$6:$K$1005,"Có kế hoạch"),"?"))</f>
        <v/>
      </c>
      <c r="Q486" s="28" t="str">
        <f>IF($C486="","",SUMIFS('3 Nhật ký dừng máy'!$I$6:$I$1005,'3 Nhật ký dừng máy'!$A$6:$A$1005,$A486,'3 Nhật ký dừng máy'!$B$6:$B$1005,$B486,'3 Nhật ký dừng máy'!$C$6:$C$1005,$C486,'3 Nhật ký dừng máy'!$K$6:$K$1005,"Ngoài kế hoạch"))</f>
        <v/>
      </c>
      <c r="R486" s="30" t="str">
        <f>IF($C486="","",COUNTIFS('3 Nhật ký dừng máy'!$A$6:$A$1005,$A486,'3 Nhật ký dừng máy'!$B$6:$B$1005,$B486,'3 Nhật ký dừng máy'!$C$6:$C$1005,$C486,'3 Nhật ký dừng máy'!$K$6:$K$1005,"Ngoài kế hoạch"))</f>
        <v/>
      </c>
      <c r="S486" s="31" t="str">
        <f t="shared" si="81"/>
        <v/>
      </c>
      <c r="T486" s="31" t="str">
        <f t="shared" si="82"/>
        <v/>
      </c>
      <c r="U486" s="31" t="str">
        <f t="shared" si="83"/>
        <v/>
      </c>
      <c r="V486" s="32" t="str">
        <f t="shared" si="84"/>
        <v/>
      </c>
      <c r="W486" s="30" t="str">
        <f t="shared" si="85"/>
        <v/>
      </c>
      <c r="X486" s="33" t="str">
        <f t="shared" si="86"/>
        <v/>
      </c>
      <c r="Y486" s="34" t="str">
        <f t="shared" si="87"/>
        <v/>
      </c>
    </row>
    <row r="487" spans="1:25" x14ac:dyDescent="0.2">
      <c r="A487" s="35"/>
      <c r="B487" s="21"/>
      <c r="C487" s="18"/>
      <c r="D487" s="21"/>
      <c r="E487" s="21"/>
      <c r="F487" s="21"/>
      <c r="G487" s="36"/>
      <c r="H487" s="36"/>
      <c r="I487" s="36"/>
      <c r="J487" s="37"/>
      <c r="K487" s="18"/>
      <c r="L487" s="28" t="str">
        <f t="shared" si="77"/>
        <v/>
      </c>
      <c r="M487" s="29" t="str">
        <f t="shared" si="78"/>
        <v/>
      </c>
      <c r="N487" s="29" t="str">
        <f t="shared" si="79"/>
        <v/>
      </c>
      <c r="O487" s="30" t="str">
        <f t="shared" si="80"/>
        <v/>
      </c>
      <c r="P487" s="28" t="str">
        <f>IF($C487="","",IFERROR(INDEX(CA_TG,MATCH(B487,DS_CA,0))-INDEX(CA_NGHI,MATCH(B487,DS_CA,0))-SUMIFS('3 Nhật ký dừng máy'!$I$6:$I$1005,'3 Nhật ký dừng máy'!$A$6:$A$1005,$A487,'3 Nhật ký dừng máy'!$B$6:$B$1005,$B487,'3 Nhật ký dừng máy'!$C$6:$C$1005,$C487,'3 Nhật ký dừng máy'!$K$6:$K$1005,"Có kế hoạch"),"?"))</f>
        <v/>
      </c>
      <c r="Q487" s="28" t="str">
        <f>IF($C487="","",SUMIFS('3 Nhật ký dừng máy'!$I$6:$I$1005,'3 Nhật ký dừng máy'!$A$6:$A$1005,$A487,'3 Nhật ký dừng máy'!$B$6:$B$1005,$B487,'3 Nhật ký dừng máy'!$C$6:$C$1005,$C487,'3 Nhật ký dừng máy'!$K$6:$K$1005,"Ngoài kế hoạch"))</f>
        <v/>
      </c>
      <c r="R487" s="30" t="str">
        <f>IF($C487="","",COUNTIFS('3 Nhật ký dừng máy'!$A$6:$A$1005,$A487,'3 Nhật ký dừng máy'!$B$6:$B$1005,$B487,'3 Nhật ký dừng máy'!$C$6:$C$1005,$C487,'3 Nhật ký dừng máy'!$K$6:$K$1005,"Ngoài kế hoạch"))</f>
        <v/>
      </c>
      <c r="S487" s="31" t="str">
        <f t="shared" si="81"/>
        <v/>
      </c>
      <c r="T487" s="31" t="str">
        <f t="shared" si="82"/>
        <v/>
      </c>
      <c r="U487" s="31" t="str">
        <f t="shared" si="83"/>
        <v/>
      </c>
      <c r="V487" s="32" t="str">
        <f t="shared" si="84"/>
        <v/>
      </c>
      <c r="W487" s="30" t="str">
        <f t="shared" si="85"/>
        <v/>
      </c>
      <c r="X487" s="33" t="str">
        <f t="shared" si="86"/>
        <v/>
      </c>
      <c r="Y487" s="34" t="str">
        <f t="shared" si="87"/>
        <v/>
      </c>
    </row>
    <row r="488" spans="1:25" x14ac:dyDescent="0.2">
      <c r="A488" s="35"/>
      <c r="B488" s="21"/>
      <c r="C488" s="18"/>
      <c r="D488" s="21"/>
      <c r="E488" s="21"/>
      <c r="F488" s="21"/>
      <c r="G488" s="36"/>
      <c r="H488" s="36"/>
      <c r="I488" s="36"/>
      <c r="J488" s="37"/>
      <c r="K488" s="18"/>
      <c r="L488" s="28" t="str">
        <f t="shared" si="77"/>
        <v/>
      </c>
      <c r="M488" s="29" t="str">
        <f t="shared" si="78"/>
        <v/>
      </c>
      <c r="N488" s="29" t="str">
        <f t="shared" si="79"/>
        <v/>
      </c>
      <c r="O488" s="30" t="str">
        <f t="shared" si="80"/>
        <v/>
      </c>
      <c r="P488" s="28" t="str">
        <f>IF($C488="","",IFERROR(INDEX(CA_TG,MATCH(B488,DS_CA,0))-INDEX(CA_NGHI,MATCH(B488,DS_CA,0))-SUMIFS('3 Nhật ký dừng máy'!$I$6:$I$1005,'3 Nhật ký dừng máy'!$A$6:$A$1005,$A488,'3 Nhật ký dừng máy'!$B$6:$B$1005,$B488,'3 Nhật ký dừng máy'!$C$6:$C$1005,$C488,'3 Nhật ký dừng máy'!$K$6:$K$1005,"Có kế hoạch"),"?"))</f>
        <v/>
      </c>
      <c r="Q488" s="28" t="str">
        <f>IF($C488="","",SUMIFS('3 Nhật ký dừng máy'!$I$6:$I$1005,'3 Nhật ký dừng máy'!$A$6:$A$1005,$A488,'3 Nhật ký dừng máy'!$B$6:$B$1005,$B488,'3 Nhật ký dừng máy'!$C$6:$C$1005,$C488,'3 Nhật ký dừng máy'!$K$6:$K$1005,"Ngoài kế hoạch"))</f>
        <v/>
      </c>
      <c r="R488" s="30" t="str">
        <f>IF($C488="","",COUNTIFS('3 Nhật ký dừng máy'!$A$6:$A$1005,$A488,'3 Nhật ký dừng máy'!$B$6:$B$1005,$B488,'3 Nhật ký dừng máy'!$C$6:$C$1005,$C488,'3 Nhật ký dừng máy'!$K$6:$K$1005,"Ngoài kế hoạch"))</f>
        <v/>
      </c>
      <c r="S488" s="31" t="str">
        <f t="shared" si="81"/>
        <v/>
      </c>
      <c r="T488" s="31" t="str">
        <f t="shared" si="82"/>
        <v/>
      </c>
      <c r="U488" s="31" t="str">
        <f t="shared" si="83"/>
        <v/>
      </c>
      <c r="V488" s="32" t="str">
        <f t="shared" si="84"/>
        <v/>
      </c>
      <c r="W488" s="30" t="str">
        <f t="shared" si="85"/>
        <v/>
      </c>
      <c r="X488" s="33" t="str">
        <f t="shared" si="86"/>
        <v/>
      </c>
      <c r="Y488" s="34" t="str">
        <f t="shared" si="87"/>
        <v/>
      </c>
    </row>
    <row r="489" spans="1:25" x14ac:dyDescent="0.2">
      <c r="A489" s="35"/>
      <c r="B489" s="21"/>
      <c r="C489" s="18"/>
      <c r="D489" s="21"/>
      <c r="E489" s="21"/>
      <c r="F489" s="21"/>
      <c r="G489" s="36"/>
      <c r="H489" s="36"/>
      <c r="I489" s="36"/>
      <c r="J489" s="37"/>
      <c r="K489" s="18"/>
      <c r="L489" s="28" t="str">
        <f t="shared" si="77"/>
        <v/>
      </c>
      <c r="M489" s="29" t="str">
        <f t="shared" si="78"/>
        <v/>
      </c>
      <c r="N489" s="29" t="str">
        <f t="shared" si="79"/>
        <v/>
      </c>
      <c r="O489" s="30" t="str">
        <f t="shared" si="80"/>
        <v/>
      </c>
      <c r="P489" s="28" t="str">
        <f>IF($C489="","",IFERROR(INDEX(CA_TG,MATCH(B489,DS_CA,0))-INDEX(CA_NGHI,MATCH(B489,DS_CA,0))-SUMIFS('3 Nhật ký dừng máy'!$I$6:$I$1005,'3 Nhật ký dừng máy'!$A$6:$A$1005,$A489,'3 Nhật ký dừng máy'!$B$6:$B$1005,$B489,'3 Nhật ký dừng máy'!$C$6:$C$1005,$C489,'3 Nhật ký dừng máy'!$K$6:$K$1005,"Có kế hoạch"),"?"))</f>
        <v/>
      </c>
      <c r="Q489" s="28" t="str">
        <f>IF($C489="","",SUMIFS('3 Nhật ký dừng máy'!$I$6:$I$1005,'3 Nhật ký dừng máy'!$A$6:$A$1005,$A489,'3 Nhật ký dừng máy'!$B$6:$B$1005,$B489,'3 Nhật ký dừng máy'!$C$6:$C$1005,$C489,'3 Nhật ký dừng máy'!$K$6:$K$1005,"Ngoài kế hoạch"))</f>
        <v/>
      </c>
      <c r="R489" s="30" t="str">
        <f>IF($C489="","",COUNTIFS('3 Nhật ký dừng máy'!$A$6:$A$1005,$A489,'3 Nhật ký dừng máy'!$B$6:$B$1005,$B489,'3 Nhật ký dừng máy'!$C$6:$C$1005,$C489,'3 Nhật ký dừng máy'!$K$6:$K$1005,"Ngoài kế hoạch"))</f>
        <v/>
      </c>
      <c r="S489" s="31" t="str">
        <f t="shared" si="81"/>
        <v/>
      </c>
      <c r="T489" s="31" t="str">
        <f t="shared" si="82"/>
        <v/>
      </c>
      <c r="U489" s="31" t="str">
        <f t="shared" si="83"/>
        <v/>
      </c>
      <c r="V489" s="32" t="str">
        <f t="shared" si="84"/>
        <v/>
      </c>
      <c r="W489" s="30" t="str">
        <f t="shared" si="85"/>
        <v/>
      </c>
      <c r="X489" s="33" t="str">
        <f t="shared" si="86"/>
        <v/>
      </c>
      <c r="Y489" s="34" t="str">
        <f t="shared" si="87"/>
        <v/>
      </c>
    </row>
    <row r="490" spans="1:25" x14ac:dyDescent="0.2">
      <c r="A490" s="35"/>
      <c r="B490" s="21"/>
      <c r="C490" s="18"/>
      <c r="D490" s="21"/>
      <c r="E490" s="21"/>
      <c r="F490" s="21"/>
      <c r="G490" s="36"/>
      <c r="H490" s="36"/>
      <c r="I490" s="36"/>
      <c r="J490" s="37"/>
      <c r="K490" s="18"/>
      <c r="L490" s="28" t="str">
        <f t="shared" si="77"/>
        <v/>
      </c>
      <c r="M490" s="29" t="str">
        <f t="shared" si="78"/>
        <v/>
      </c>
      <c r="N490" s="29" t="str">
        <f t="shared" si="79"/>
        <v/>
      </c>
      <c r="O490" s="30" t="str">
        <f t="shared" si="80"/>
        <v/>
      </c>
      <c r="P490" s="28" t="str">
        <f>IF($C490="","",IFERROR(INDEX(CA_TG,MATCH(B490,DS_CA,0))-INDEX(CA_NGHI,MATCH(B490,DS_CA,0))-SUMIFS('3 Nhật ký dừng máy'!$I$6:$I$1005,'3 Nhật ký dừng máy'!$A$6:$A$1005,$A490,'3 Nhật ký dừng máy'!$B$6:$B$1005,$B490,'3 Nhật ký dừng máy'!$C$6:$C$1005,$C490,'3 Nhật ký dừng máy'!$K$6:$K$1005,"Có kế hoạch"),"?"))</f>
        <v/>
      </c>
      <c r="Q490" s="28" t="str">
        <f>IF($C490="","",SUMIFS('3 Nhật ký dừng máy'!$I$6:$I$1005,'3 Nhật ký dừng máy'!$A$6:$A$1005,$A490,'3 Nhật ký dừng máy'!$B$6:$B$1005,$B490,'3 Nhật ký dừng máy'!$C$6:$C$1005,$C490,'3 Nhật ký dừng máy'!$K$6:$K$1005,"Ngoài kế hoạch"))</f>
        <v/>
      </c>
      <c r="R490" s="30" t="str">
        <f>IF($C490="","",COUNTIFS('3 Nhật ký dừng máy'!$A$6:$A$1005,$A490,'3 Nhật ký dừng máy'!$B$6:$B$1005,$B490,'3 Nhật ký dừng máy'!$C$6:$C$1005,$C490,'3 Nhật ký dừng máy'!$K$6:$K$1005,"Ngoài kế hoạch"))</f>
        <v/>
      </c>
      <c r="S490" s="31" t="str">
        <f t="shared" si="81"/>
        <v/>
      </c>
      <c r="T490" s="31" t="str">
        <f t="shared" si="82"/>
        <v/>
      </c>
      <c r="U490" s="31" t="str">
        <f t="shared" si="83"/>
        <v/>
      </c>
      <c r="V490" s="32" t="str">
        <f t="shared" si="84"/>
        <v/>
      </c>
      <c r="W490" s="30" t="str">
        <f t="shared" si="85"/>
        <v/>
      </c>
      <c r="X490" s="33" t="str">
        <f t="shared" si="86"/>
        <v/>
      </c>
      <c r="Y490" s="34" t="str">
        <f t="shared" si="87"/>
        <v/>
      </c>
    </row>
    <row r="491" spans="1:25" x14ac:dyDescent="0.2">
      <c r="A491" s="35"/>
      <c r="B491" s="21"/>
      <c r="C491" s="18"/>
      <c r="D491" s="21"/>
      <c r="E491" s="21"/>
      <c r="F491" s="21"/>
      <c r="G491" s="36"/>
      <c r="H491" s="36"/>
      <c r="I491" s="36"/>
      <c r="J491" s="37"/>
      <c r="K491" s="18"/>
      <c r="L491" s="28" t="str">
        <f t="shared" si="77"/>
        <v/>
      </c>
      <c r="M491" s="29" t="str">
        <f t="shared" si="78"/>
        <v/>
      </c>
      <c r="N491" s="29" t="str">
        <f t="shared" si="79"/>
        <v/>
      </c>
      <c r="O491" s="30" t="str">
        <f t="shared" si="80"/>
        <v/>
      </c>
      <c r="P491" s="28" t="str">
        <f>IF($C491="","",IFERROR(INDEX(CA_TG,MATCH(B491,DS_CA,0))-INDEX(CA_NGHI,MATCH(B491,DS_CA,0))-SUMIFS('3 Nhật ký dừng máy'!$I$6:$I$1005,'3 Nhật ký dừng máy'!$A$6:$A$1005,$A491,'3 Nhật ký dừng máy'!$B$6:$B$1005,$B491,'3 Nhật ký dừng máy'!$C$6:$C$1005,$C491,'3 Nhật ký dừng máy'!$K$6:$K$1005,"Có kế hoạch"),"?"))</f>
        <v/>
      </c>
      <c r="Q491" s="28" t="str">
        <f>IF($C491="","",SUMIFS('3 Nhật ký dừng máy'!$I$6:$I$1005,'3 Nhật ký dừng máy'!$A$6:$A$1005,$A491,'3 Nhật ký dừng máy'!$B$6:$B$1005,$B491,'3 Nhật ký dừng máy'!$C$6:$C$1005,$C491,'3 Nhật ký dừng máy'!$K$6:$K$1005,"Ngoài kế hoạch"))</f>
        <v/>
      </c>
      <c r="R491" s="30" t="str">
        <f>IF($C491="","",COUNTIFS('3 Nhật ký dừng máy'!$A$6:$A$1005,$A491,'3 Nhật ký dừng máy'!$B$6:$B$1005,$B491,'3 Nhật ký dừng máy'!$C$6:$C$1005,$C491,'3 Nhật ký dừng máy'!$K$6:$K$1005,"Ngoài kế hoạch"))</f>
        <v/>
      </c>
      <c r="S491" s="31" t="str">
        <f t="shared" si="81"/>
        <v/>
      </c>
      <c r="T491" s="31" t="str">
        <f t="shared" si="82"/>
        <v/>
      </c>
      <c r="U491" s="31" t="str">
        <f t="shared" si="83"/>
        <v/>
      </c>
      <c r="V491" s="32" t="str">
        <f t="shared" si="84"/>
        <v/>
      </c>
      <c r="W491" s="30" t="str">
        <f t="shared" si="85"/>
        <v/>
      </c>
      <c r="X491" s="33" t="str">
        <f t="shared" si="86"/>
        <v/>
      </c>
      <c r="Y491" s="34" t="str">
        <f t="shared" si="87"/>
        <v/>
      </c>
    </row>
    <row r="492" spans="1:25" x14ac:dyDescent="0.2">
      <c r="A492" s="35"/>
      <c r="B492" s="21"/>
      <c r="C492" s="18"/>
      <c r="D492" s="21"/>
      <c r="E492" s="21"/>
      <c r="F492" s="21"/>
      <c r="G492" s="36"/>
      <c r="H492" s="36"/>
      <c r="I492" s="36"/>
      <c r="J492" s="37"/>
      <c r="K492" s="18"/>
      <c r="L492" s="28" t="str">
        <f t="shared" si="77"/>
        <v/>
      </c>
      <c r="M492" s="29" t="str">
        <f t="shared" si="78"/>
        <v/>
      </c>
      <c r="N492" s="29" t="str">
        <f t="shared" si="79"/>
        <v/>
      </c>
      <c r="O492" s="30" t="str">
        <f t="shared" si="80"/>
        <v/>
      </c>
      <c r="P492" s="28" t="str">
        <f>IF($C492="","",IFERROR(INDEX(CA_TG,MATCH(B492,DS_CA,0))-INDEX(CA_NGHI,MATCH(B492,DS_CA,0))-SUMIFS('3 Nhật ký dừng máy'!$I$6:$I$1005,'3 Nhật ký dừng máy'!$A$6:$A$1005,$A492,'3 Nhật ký dừng máy'!$B$6:$B$1005,$B492,'3 Nhật ký dừng máy'!$C$6:$C$1005,$C492,'3 Nhật ký dừng máy'!$K$6:$K$1005,"Có kế hoạch"),"?"))</f>
        <v/>
      </c>
      <c r="Q492" s="28" t="str">
        <f>IF($C492="","",SUMIFS('3 Nhật ký dừng máy'!$I$6:$I$1005,'3 Nhật ký dừng máy'!$A$6:$A$1005,$A492,'3 Nhật ký dừng máy'!$B$6:$B$1005,$B492,'3 Nhật ký dừng máy'!$C$6:$C$1005,$C492,'3 Nhật ký dừng máy'!$K$6:$K$1005,"Ngoài kế hoạch"))</f>
        <v/>
      </c>
      <c r="R492" s="30" t="str">
        <f>IF($C492="","",COUNTIFS('3 Nhật ký dừng máy'!$A$6:$A$1005,$A492,'3 Nhật ký dừng máy'!$B$6:$B$1005,$B492,'3 Nhật ký dừng máy'!$C$6:$C$1005,$C492,'3 Nhật ký dừng máy'!$K$6:$K$1005,"Ngoài kế hoạch"))</f>
        <v/>
      </c>
      <c r="S492" s="31" t="str">
        <f t="shared" si="81"/>
        <v/>
      </c>
      <c r="T492" s="31" t="str">
        <f t="shared" si="82"/>
        <v/>
      </c>
      <c r="U492" s="31" t="str">
        <f t="shared" si="83"/>
        <v/>
      </c>
      <c r="V492" s="32" t="str">
        <f t="shared" si="84"/>
        <v/>
      </c>
      <c r="W492" s="30" t="str">
        <f t="shared" si="85"/>
        <v/>
      </c>
      <c r="X492" s="33" t="str">
        <f t="shared" si="86"/>
        <v/>
      </c>
      <c r="Y492" s="34" t="str">
        <f t="shared" si="87"/>
        <v/>
      </c>
    </row>
    <row r="493" spans="1:25" x14ac:dyDescent="0.2">
      <c r="A493" s="35"/>
      <c r="B493" s="21"/>
      <c r="C493" s="18"/>
      <c r="D493" s="21"/>
      <c r="E493" s="21"/>
      <c r="F493" s="21"/>
      <c r="G493" s="36"/>
      <c r="H493" s="36"/>
      <c r="I493" s="36"/>
      <c r="J493" s="37"/>
      <c r="K493" s="18"/>
      <c r="L493" s="28" t="str">
        <f t="shared" si="77"/>
        <v/>
      </c>
      <c r="M493" s="29" t="str">
        <f t="shared" si="78"/>
        <v/>
      </c>
      <c r="N493" s="29" t="str">
        <f t="shared" si="79"/>
        <v/>
      </c>
      <c r="O493" s="30" t="str">
        <f t="shared" si="80"/>
        <v/>
      </c>
      <c r="P493" s="28" t="str">
        <f>IF($C493="","",IFERROR(INDEX(CA_TG,MATCH(B493,DS_CA,0))-INDEX(CA_NGHI,MATCH(B493,DS_CA,0))-SUMIFS('3 Nhật ký dừng máy'!$I$6:$I$1005,'3 Nhật ký dừng máy'!$A$6:$A$1005,$A493,'3 Nhật ký dừng máy'!$B$6:$B$1005,$B493,'3 Nhật ký dừng máy'!$C$6:$C$1005,$C493,'3 Nhật ký dừng máy'!$K$6:$K$1005,"Có kế hoạch"),"?"))</f>
        <v/>
      </c>
      <c r="Q493" s="28" t="str">
        <f>IF($C493="","",SUMIFS('3 Nhật ký dừng máy'!$I$6:$I$1005,'3 Nhật ký dừng máy'!$A$6:$A$1005,$A493,'3 Nhật ký dừng máy'!$B$6:$B$1005,$B493,'3 Nhật ký dừng máy'!$C$6:$C$1005,$C493,'3 Nhật ký dừng máy'!$K$6:$K$1005,"Ngoài kế hoạch"))</f>
        <v/>
      </c>
      <c r="R493" s="30" t="str">
        <f>IF($C493="","",COUNTIFS('3 Nhật ký dừng máy'!$A$6:$A$1005,$A493,'3 Nhật ký dừng máy'!$B$6:$B$1005,$B493,'3 Nhật ký dừng máy'!$C$6:$C$1005,$C493,'3 Nhật ký dừng máy'!$K$6:$K$1005,"Ngoài kế hoạch"))</f>
        <v/>
      </c>
      <c r="S493" s="31" t="str">
        <f t="shared" si="81"/>
        <v/>
      </c>
      <c r="T493" s="31" t="str">
        <f t="shared" si="82"/>
        <v/>
      </c>
      <c r="U493" s="31" t="str">
        <f t="shared" si="83"/>
        <v/>
      </c>
      <c r="V493" s="32" t="str">
        <f t="shared" si="84"/>
        <v/>
      </c>
      <c r="W493" s="30" t="str">
        <f t="shared" si="85"/>
        <v/>
      </c>
      <c r="X493" s="33" t="str">
        <f t="shared" si="86"/>
        <v/>
      </c>
      <c r="Y493" s="34" t="str">
        <f t="shared" si="87"/>
        <v/>
      </c>
    </row>
    <row r="494" spans="1:25" x14ac:dyDescent="0.2">
      <c r="A494" s="35"/>
      <c r="B494" s="21"/>
      <c r="C494" s="18"/>
      <c r="D494" s="21"/>
      <c r="E494" s="21"/>
      <c r="F494" s="21"/>
      <c r="G494" s="36"/>
      <c r="H494" s="36"/>
      <c r="I494" s="36"/>
      <c r="J494" s="37"/>
      <c r="K494" s="18"/>
      <c r="L494" s="28" t="str">
        <f t="shared" si="77"/>
        <v/>
      </c>
      <c r="M494" s="29" t="str">
        <f t="shared" si="78"/>
        <v/>
      </c>
      <c r="N494" s="29" t="str">
        <f t="shared" si="79"/>
        <v/>
      </c>
      <c r="O494" s="30" t="str">
        <f t="shared" si="80"/>
        <v/>
      </c>
      <c r="P494" s="28" t="str">
        <f>IF($C494="","",IFERROR(INDEX(CA_TG,MATCH(B494,DS_CA,0))-INDEX(CA_NGHI,MATCH(B494,DS_CA,0))-SUMIFS('3 Nhật ký dừng máy'!$I$6:$I$1005,'3 Nhật ký dừng máy'!$A$6:$A$1005,$A494,'3 Nhật ký dừng máy'!$B$6:$B$1005,$B494,'3 Nhật ký dừng máy'!$C$6:$C$1005,$C494,'3 Nhật ký dừng máy'!$K$6:$K$1005,"Có kế hoạch"),"?"))</f>
        <v/>
      </c>
      <c r="Q494" s="28" t="str">
        <f>IF($C494="","",SUMIFS('3 Nhật ký dừng máy'!$I$6:$I$1005,'3 Nhật ký dừng máy'!$A$6:$A$1005,$A494,'3 Nhật ký dừng máy'!$B$6:$B$1005,$B494,'3 Nhật ký dừng máy'!$C$6:$C$1005,$C494,'3 Nhật ký dừng máy'!$K$6:$K$1005,"Ngoài kế hoạch"))</f>
        <v/>
      </c>
      <c r="R494" s="30" t="str">
        <f>IF($C494="","",COUNTIFS('3 Nhật ký dừng máy'!$A$6:$A$1005,$A494,'3 Nhật ký dừng máy'!$B$6:$B$1005,$B494,'3 Nhật ký dừng máy'!$C$6:$C$1005,$C494,'3 Nhật ký dừng máy'!$K$6:$K$1005,"Ngoài kế hoạch"))</f>
        <v/>
      </c>
      <c r="S494" s="31" t="str">
        <f t="shared" si="81"/>
        <v/>
      </c>
      <c r="T494" s="31" t="str">
        <f t="shared" si="82"/>
        <v/>
      </c>
      <c r="U494" s="31" t="str">
        <f t="shared" si="83"/>
        <v/>
      </c>
      <c r="V494" s="32" t="str">
        <f t="shared" si="84"/>
        <v/>
      </c>
      <c r="W494" s="30" t="str">
        <f t="shared" si="85"/>
        <v/>
      </c>
      <c r="X494" s="33" t="str">
        <f t="shared" si="86"/>
        <v/>
      </c>
      <c r="Y494" s="34" t="str">
        <f t="shared" si="87"/>
        <v/>
      </c>
    </row>
    <row r="495" spans="1:25" x14ac:dyDescent="0.2">
      <c r="A495" s="35"/>
      <c r="B495" s="21"/>
      <c r="C495" s="18"/>
      <c r="D495" s="21"/>
      <c r="E495" s="21"/>
      <c r="F495" s="21"/>
      <c r="G495" s="36"/>
      <c r="H495" s="36"/>
      <c r="I495" s="36"/>
      <c r="J495" s="37"/>
      <c r="K495" s="18"/>
      <c r="L495" s="28" t="str">
        <f t="shared" si="77"/>
        <v/>
      </c>
      <c r="M495" s="29" t="str">
        <f t="shared" si="78"/>
        <v/>
      </c>
      <c r="N495" s="29" t="str">
        <f t="shared" si="79"/>
        <v/>
      </c>
      <c r="O495" s="30" t="str">
        <f t="shared" si="80"/>
        <v/>
      </c>
      <c r="P495" s="28" t="str">
        <f>IF($C495="","",IFERROR(INDEX(CA_TG,MATCH(B495,DS_CA,0))-INDEX(CA_NGHI,MATCH(B495,DS_CA,0))-SUMIFS('3 Nhật ký dừng máy'!$I$6:$I$1005,'3 Nhật ký dừng máy'!$A$6:$A$1005,$A495,'3 Nhật ký dừng máy'!$B$6:$B$1005,$B495,'3 Nhật ký dừng máy'!$C$6:$C$1005,$C495,'3 Nhật ký dừng máy'!$K$6:$K$1005,"Có kế hoạch"),"?"))</f>
        <v/>
      </c>
      <c r="Q495" s="28" t="str">
        <f>IF($C495="","",SUMIFS('3 Nhật ký dừng máy'!$I$6:$I$1005,'3 Nhật ký dừng máy'!$A$6:$A$1005,$A495,'3 Nhật ký dừng máy'!$B$6:$B$1005,$B495,'3 Nhật ký dừng máy'!$C$6:$C$1005,$C495,'3 Nhật ký dừng máy'!$K$6:$K$1005,"Ngoài kế hoạch"))</f>
        <v/>
      </c>
      <c r="R495" s="30" t="str">
        <f>IF($C495="","",COUNTIFS('3 Nhật ký dừng máy'!$A$6:$A$1005,$A495,'3 Nhật ký dừng máy'!$B$6:$B$1005,$B495,'3 Nhật ký dừng máy'!$C$6:$C$1005,$C495,'3 Nhật ký dừng máy'!$K$6:$K$1005,"Ngoài kế hoạch"))</f>
        <v/>
      </c>
      <c r="S495" s="31" t="str">
        <f t="shared" si="81"/>
        <v/>
      </c>
      <c r="T495" s="31" t="str">
        <f t="shared" si="82"/>
        <v/>
      </c>
      <c r="U495" s="31" t="str">
        <f t="shared" si="83"/>
        <v/>
      </c>
      <c r="V495" s="32" t="str">
        <f t="shared" si="84"/>
        <v/>
      </c>
      <c r="W495" s="30" t="str">
        <f t="shared" si="85"/>
        <v/>
      </c>
      <c r="X495" s="33" t="str">
        <f t="shared" si="86"/>
        <v/>
      </c>
      <c r="Y495" s="34" t="str">
        <f t="shared" si="87"/>
        <v/>
      </c>
    </row>
    <row r="496" spans="1:25" x14ac:dyDescent="0.2">
      <c r="A496" s="35"/>
      <c r="B496" s="21"/>
      <c r="C496" s="18"/>
      <c r="D496" s="21"/>
      <c r="E496" s="21"/>
      <c r="F496" s="21"/>
      <c r="G496" s="36"/>
      <c r="H496" s="36"/>
      <c r="I496" s="36"/>
      <c r="J496" s="37"/>
      <c r="K496" s="18"/>
      <c r="L496" s="28" t="str">
        <f t="shared" si="77"/>
        <v/>
      </c>
      <c r="M496" s="29" t="str">
        <f t="shared" si="78"/>
        <v/>
      </c>
      <c r="N496" s="29" t="str">
        <f t="shared" si="79"/>
        <v/>
      </c>
      <c r="O496" s="30" t="str">
        <f t="shared" si="80"/>
        <v/>
      </c>
      <c r="P496" s="28" t="str">
        <f>IF($C496="","",IFERROR(INDEX(CA_TG,MATCH(B496,DS_CA,0))-INDEX(CA_NGHI,MATCH(B496,DS_CA,0))-SUMIFS('3 Nhật ký dừng máy'!$I$6:$I$1005,'3 Nhật ký dừng máy'!$A$6:$A$1005,$A496,'3 Nhật ký dừng máy'!$B$6:$B$1005,$B496,'3 Nhật ký dừng máy'!$C$6:$C$1005,$C496,'3 Nhật ký dừng máy'!$K$6:$K$1005,"Có kế hoạch"),"?"))</f>
        <v/>
      </c>
      <c r="Q496" s="28" t="str">
        <f>IF($C496="","",SUMIFS('3 Nhật ký dừng máy'!$I$6:$I$1005,'3 Nhật ký dừng máy'!$A$6:$A$1005,$A496,'3 Nhật ký dừng máy'!$B$6:$B$1005,$B496,'3 Nhật ký dừng máy'!$C$6:$C$1005,$C496,'3 Nhật ký dừng máy'!$K$6:$K$1005,"Ngoài kế hoạch"))</f>
        <v/>
      </c>
      <c r="R496" s="30" t="str">
        <f>IF($C496="","",COUNTIFS('3 Nhật ký dừng máy'!$A$6:$A$1005,$A496,'3 Nhật ký dừng máy'!$B$6:$B$1005,$B496,'3 Nhật ký dừng máy'!$C$6:$C$1005,$C496,'3 Nhật ký dừng máy'!$K$6:$K$1005,"Ngoài kế hoạch"))</f>
        <v/>
      </c>
      <c r="S496" s="31" t="str">
        <f t="shared" si="81"/>
        <v/>
      </c>
      <c r="T496" s="31" t="str">
        <f t="shared" si="82"/>
        <v/>
      </c>
      <c r="U496" s="31" t="str">
        <f t="shared" si="83"/>
        <v/>
      </c>
      <c r="V496" s="32" t="str">
        <f t="shared" si="84"/>
        <v/>
      </c>
      <c r="W496" s="30" t="str">
        <f t="shared" si="85"/>
        <v/>
      </c>
      <c r="X496" s="33" t="str">
        <f t="shared" si="86"/>
        <v/>
      </c>
      <c r="Y496" s="34" t="str">
        <f t="shared" si="87"/>
        <v/>
      </c>
    </row>
    <row r="497" spans="1:25" x14ac:dyDescent="0.2">
      <c r="A497" s="35"/>
      <c r="B497" s="21"/>
      <c r="C497" s="18"/>
      <c r="D497" s="21"/>
      <c r="E497" s="21"/>
      <c r="F497" s="21"/>
      <c r="G497" s="36"/>
      <c r="H497" s="36"/>
      <c r="I497" s="36"/>
      <c r="J497" s="37"/>
      <c r="K497" s="18"/>
      <c r="L497" s="28" t="str">
        <f t="shared" si="77"/>
        <v/>
      </c>
      <c r="M497" s="29" t="str">
        <f t="shared" si="78"/>
        <v/>
      </c>
      <c r="N497" s="29" t="str">
        <f t="shared" si="79"/>
        <v/>
      </c>
      <c r="O497" s="30" t="str">
        <f t="shared" si="80"/>
        <v/>
      </c>
      <c r="P497" s="28" t="str">
        <f>IF($C497="","",IFERROR(INDEX(CA_TG,MATCH(B497,DS_CA,0))-INDEX(CA_NGHI,MATCH(B497,DS_CA,0))-SUMIFS('3 Nhật ký dừng máy'!$I$6:$I$1005,'3 Nhật ký dừng máy'!$A$6:$A$1005,$A497,'3 Nhật ký dừng máy'!$B$6:$B$1005,$B497,'3 Nhật ký dừng máy'!$C$6:$C$1005,$C497,'3 Nhật ký dừng máy'!$K$6:$K$1005,"Có kế hoạch"),"?"))</f>
        <v/>
      </c>
      <c r="Q497" s="28" t="str">
        <f>IF($C497="","",SUMIFS('3 Nhật ký dừng máy'!$I$6:$I$1005,'3 Nhật ký dừng máy'!$A$6:$A$1005,$A497,'3 Nhật ký dừng máy'!$B$6:$B$1005,$B497,'3 Nhật ký dừng máy'!$C$6:$C$1005,$C497,'3 Nhật ký dừng máy'!$K$6:$K$1005,"Ngoài kế hoạch"))</f>
        <v/>
      </c>
      <c r="R497" s="30" t="str">
        <f>IF($C497="","",COUNTIFS('3 Nhật ký dừng máy'!$A$6:$A$1005,$A497,'3 Nhật ký dừng máy'!$B$6:$B$1005,$B497,'3 Nhật ký dừng máy'!$C$6:$C$1005,$C497,'3 Nhật ký dừng máy'!$K$6:$K$1005,"Ngoài kế hoạch"))</f>
        <v/>
      </c>
      <c r="S497" s="31" t="str">
        <f t="shared" si="81"/>
        <v/>
      </c>
      <c r="T497" s="31" t="str">
        <f t="shared" si="82"/>
        <v/>
      </c>
      <c r="U497" s="31" t="str">
        <f t="shared" si="83"/>
        <v/>
      </c>
      <c r="V497" s="32" t="str">
        <f t="shared" si="84"/>
        <v/>
      </c>
      <c r="W497" s="30" t="str">
        <f t="shared" si="85"/>
        <v/>
      </c>
      <c r="X497" s="33" t="str">
        <f t="shared" si="86"/>
        <v/>
      </c>
      <c r="Y497" s="34" t="str">
        <f t="shared" si="87"/>
        <v/>
      </c>
    </row>
    <row r="498" spans="1:25" x14ac:dyDescent="0.2">
      <c r="A498" s="35"/>
      <c r="B498" s="21"/>
      <c r="C498" s="18"/>
      <c r="D498" s="21"/>
      <c r="E498" s="21"/>
      <c r="F498" s="21"/>
      <c r="G498" s="36"/>
      <c r="H498" s="36"/>
      <c r="I498" s="36"/>
      <c r="J498" s="37"/>
      <c r="K498" s="18"/>
      <c r="L498" s="28" t="str">
        <f t="shared" si="77"/>
        <v/>
      </c>
      <c r="M498" s="29" t="str">
        <f t="shared" si="78"/>
        <v/>
      </c>
      <c r="N498" s="29" t="str">
        <f t="shared" si="79"/>
        <v/>
      </c>
      <c r="O498" s="30" t="str">
        <f t="shared" si="80"/>
        <v/>
      </c>
      <c r="P498" s="28" t="str">
        <f>IF($C498="","",IFERROR(INDEX(CA_TG,MATCH(B498,DS_CA,0))-INDEX(CA_NGHI,MATCH(B498,DS_CA,0))-SUMIFS('3 Nhật ký dừng máy'!$I$6:$I$1005,'3 Nhật ký dừng máy'!$A$6:$A$1005,$A498,'3 Nhật ký dừng máy'!$B$6:$B$1005,$B498,'3 Nhật ký dừng máy'!$C$6:$C$1005,$C498,'3 Nhật ký dừng máy'!$K$6:$K$1005,"Có kế hoạch"),"?"))</f>
        <v/>
      </c>
      <c r="Q498" s="28" t="str">
        <f>IF($C498="","",SUMIFS('3 Nhật ký dừng máy'!$I$6:$I$1005,'3 Nhật ký dừng máy'!$A$6:$A$1005,$A498,'3 Nhật ký dừng máy'!$B$6:$B$1005,$B498,'3 Nhật ký dừng máy'!$C$6:$C$1005,$C498,'3 Nhật ký dừng máy'!$K$6:$K$1005,"Ngoài kế hoạch"))</f>
        <v/>
      </c>
      <c r="R498" s="30" t="str">
        <f>IF($C498="","",COUNTIFS('3 Nhật ký dừng máy'!$A$6:$A$1005,$A498,'3 Nhật ký dừng máy'!$B$6:$B$1005,$B498,'3 Nhật ký dừng máy'!$C$6:$C$1005,$C498,'3 Nhật ký dừng máy'!$K$6:$K$1005,"Ngoài kế hoạch"))</f>
        <v/>
      </c>
      <c r="S498" s="31" t="str">
        <f t="shared" si="81"/>
        <v/>
      </c>
      <c r="T498" s="31" t="str">
        <f t="shared" si="82"/>
        <v/>
      </c>
      <c r="U498" s="31" t="str">
        <f t="shared" si="83"/>
        <v/>
      </c>
      <c r="V498" s="32" t="str">
        <f t="shared" si="84"/>
        <v/>
      </c>
      <c r="W498" s="30" t="str">
        <f t="shared" si="85"/>
        <v/>
      </c>
      <c r="X498" s="33" t="str">
        <f t="shared" si="86"/>
        <v/>
      </c>
      <c r="Y498" s="34" t="str">
        <f t="shared" si="87"/>
        <v/>
      </c>
    </row>
    <row r="499" spans="1:25" x14ac:dyDescent="0.2">
      <c r="A499" s="35"/>
      <c r="B499" s="21"/>
      <c r="C499" s="18"/>
      <c r="D499" s="21"/>
      <c r="E499" s="21"/>
      <c r="F499" s="21"/>
      <c r="G499" s="36"/>
      <c r="H499" s="36"/>
      <c r="I499" s="36"/>
      <c r="J499" s="37"/>
      <c r="K499" s="18"/>
      <c r="L499" s="28" t="str">
        <f t="shared" si="77"/>
        <v/>
      </c>
      <c r="M499" s="29" t="str">
        <f t="shared" si="78"/>
        <v/>
      </c>
      <c r="N499" s="29" t="str">
        <f t="shared" si="79"/>
        <v/>
      </c>
      <c r="O499" s="30" t="str">
        <f t="shared" si="80"/>
        <v/>
      </c>
      <c r="P499" s="28" t="str">
        <f>IF($C499="","",IFERROR(INDEX(CA_TG,MATCH(B499,DS_CA,0))-INDEX(CA_NGHI,MATCH(B499,DS_CA,0))-SUMIFS('3 Nhật ký dừng máy'!$I$6:$I$1005,'3 Nhật ký dừng máy'!$A$6:$A$1005,$A499,'3 Nhật ký dừng máy'!$B$6:$B$1005,$B499,'3 Nhật ký dừng máy'!$C$6:$C$1005,$C499,'3 Nhật ký dừng máy'!$K$6:$K$1005,"Có kế hoạch"),"?"))</f>
        <v/>
      </c>
      <c r="Q499" s="28" t="str">
        <f>IF($C499="","",SUMIFS('3 Nhật ký dừng máy'!$I$6:$I$1005,'3 Nhật ký dừng máy'!$A$6:$A$1005,$A499,'3 Nhật ký dừng máy'!$B$6:$B$1005,$B499,'3 Nhật ký dừng máy'!$C$6:$C$1005,$C499,'3 Nhật ký dừng máy'!$K$6:$K$1005,"Ngoài kế hoạch"))</f>
        <v/>
      </c>
      <c r="R499" s="30" t="str">
        <f>IF($C499="","",COUNTIFS('3 Nhật ký dừng máy'!$A$6:$A$1005,$A499,'3 Nhật ký dừng máy'!$B$6:$B$1005,$B499,'3 Nhật ký dừng máy'!$C$6:$C$1005,$C499,'3 Nhật ký dừng máy'!$K$6:$K$1005,"Ngoài kế hoạch"))</f>
        <v/>
      </c>
      <c r="S499" s="31" t="str">
        <f t="shared" si="81"/>
        <v/>
      </c>
      <c r="T499" s="31" t="str">
        <f t="shared" si="82"/>
        <v/>
      </c>
      <c r="U499" s="31" t="str">
        <f t="shared" si="83"/>
        <v/>
      </c>
      <c r="V499" s="32" t="str">
        <f t="shared" si="84"/>
        <v/>
      </c>
      <c r="W499" s="30" t="str">
        <f t="shared" si="85"/>
        <v/>
      </c>
      <c r="X499" s="33" t="str">
        <f t="shared" si="86"/>
        <v/>
      </c>
      <c r="Y499" s="34" t="str">
        <f t="shared" si="87"/>
        <v/>
      </c>
    </row>
    <row r="500" spans="1:25" x14ac:dyDescent="0.2">
      <c r="A500" s="35"/>
      <c r="B500" s="21"/>
      <c r="C500" s="18"/>
      <c r="D500" s="21"/>
      <c r="E500" s="21"/>
      <c r="F500" s="21"/>
      <c r="G500" s="36"/>
      <c r="H500" s="36"/>
      <c r="I500" s="36"/>
      <c r="J500" s="37"/>
      <c r="K500" s="18"/>
      <c r="L500" s="28" t="str">
        <f t="shared" si="77"/>
        <v/>
      </c>
      <c r="M500" s="29" t="str">
        <f t="shared" si="78"/>
        <v/>
      </c>
      <c r="N500" s="29" t="str">
        <f t="shared" si="79"/>
        <v/>
      </c>
      <c r="O500" s="30" t="str">
        <f t="shared" si="80"/>
        <v/>
      </c>
      <c r="P500" s="28" t="str">
        <f>IF($C500="","",IFERROR(INDEX(CA_TG,MATCH(B500,DS_CA,0))-INDEX(CA_NGHI,MATCH(B500,DS_CA,0))-SUMIFS('3 Nhật ký dừng máy'!$I$6:$I$1005,'3 Nhật ký dừng máy'!$A$6:$A$1005,$A500,'3 Nhật ký dừng máy'!$B$6:$B$1005,$B500,'3 Nhật ký dừng máy'!$C$6:$C$1005,$C500,'3 Nhật ký dừng máy'!$K$6:$K$1005,"Có kế hoạch"),"?"))</f>
        <v/>
      </c>
      <c r="Q500" s="28" t="str">
        <f>IF($C500="","",SUMIFS('3 Nhật ký dừng máy'!$I$6:$I$1005,'3 Nhật ký dừng máy'!$A$6:$A$1005,$A500,'3 Nhật ký dừng máy'!$B$6:$B$1005,$B500,'3 Nhật ký dừng máy'!$C$6:$C$1005,$C500,'3 Nhật ký dừng máy'!$K$6:$K$1005,"Ngoài kế hoạch"))</f>
        <v/>
      </c>
      <c r="R500" s="30" t="str">
        <f>IF($C500="","",COUNTIFS('3 Nhật ký dừng máy'!$A$6:$A$1005,$A500,'3 Nhật ký dừng máy'!$B$6:$B$1005,$B500,'3 Nhật ký dừng máy'!$C$6:$C$1005,$C500,'3 Nhật ký dừng máy'!$K$6:$K$1005,"Ngoài kế hoạch"))</f>
        <v/>
      </c>
      <c r="S500" s="31" t="str">
        <f t="shared" si="81"/>
        <v/>
      </c>
      <c r="T500" s="31" t="str">
        <f t="shared" si="82"/>
        <v/>
      </c>
      <c r="U500" s="31" t="str">
        <f t="shared" si="83"/>
        <v/>
      </c>
      <c r="V500" s="32" t="str">
        <f t="shared" si="84"/>
        <v/>
      </c>
      <c r="W500" s="30" t="str">
        <f t="shared" si="85"/>
        <v/>
      </c>
      <c r="X500" s="33" t="str">
        <f t="shared" si="86"/>
        <v/>
      </c>
      <c r="Y500" s="34" t="str">
        <f t="shared" si="87"/>
        <v/>
      </c>
    </row>
    <row r="501" spans="1:25" x14ac:dyDescent="0.2">
      <c r="A501" s="35"/>
      <c r="B501" s="21"/>
      <c r="C501" s="18"/>
      <c r="D501" s="21"/>
      <c r="E501" s="21"/>
      <c r="F501" s="21"/>
      <c r="G501" s="36"/>
      <c r="H501" s="36"/>
      <c r="I501" s="36"/>
      <c r="J501" s="37"/>
      <c r="K501" s="18"/>
      <c r="L501" s="28" t="str">
        <f t="shared" si="77"/>
        <v/>
      </c>
      <c r="M501" s="29" t="str">
        <f t="shared" si="78"/>
        <v/>
      </c>
      <c r="N501" s="29" t="str">
        <f t="shared" si="79"/>
        <v/>
      </c>
      <c r="O501" s="30" t="str">
        <f t="shared" si="80"/>
        <v/>
      </c>
      <c r="P501" s="28" t="str">
        <f>IF($C501="","",IFERROR(INDEX(CA_TG,MATCH(B501,DS_CA,0))-INDEX(CA_NGHI,MATCH(B501,DS_CA,0))-SUMIFS('3 Nhật ký dừng máy'!$I$6:$I$1005,'3 Nhật ký dừng máy'!$A$6:$A$1005,$A501,'3 Nhật ký dừng máy'!$B$6:$B$1005,$B501,'3 Nhật ký dừng máy'!$C$6:$C$1005,$C501,'3 Nhật ký dừng máy'!$K$6:$K$1005,"Có kế hoạch"),"?"))</f>
        <v/>
      </c>
      <c r="Q501" s="28" t="str">
        <f>IF($C501="","",SUMIFS('3 Nhật ký dừng máy'!$I$6:$I$1005,'3 Nhật ký dừng máy'!$A$6:$A$1005,$A501,'3 Nhật ký dừng máy'!$B$6:$B$1005,$B501,'3 Nhật ký dừng máy'!$C$6:$C$1005,$C501,'3 Nhật ký dừng máy'!$K$6:$K$1005,"Ngoài kế hoạch"))</f>
        <v/>
      </c>
      <c r="R501" s="30" t="str">
        <f>IF($C501="","",COUNTIFS('3 Nhật ký dừng máy'!$A$6:$A$1005,$A501,'3 Nhật ký dừng máy'!$B$6:$B$1005,$B501,'3 Nhật ký dừng máy'!$C$6:$C$1005,$C501,'3 Nhật ký dừng máy'!$K$6:$K$1005,"Ngoài kế hoạch"))</f>
        <v/>
      </c>
      <c r="S501" s="31" t="str">
        <f t="shared" si="81"/>
        <v/>
      </c>
      <c r="T501" s="31" t="str">
        <f t="shared" si="82"/>
        <v/>
      </c>
      <c r="U501" s="31" t="str">
        <f t="shared" si="83"/>
        <v/>
      </c>
      <c r="V501" s="32" t="str">
        <f t="shared" si="84"/>
        <v/>
      </c>
      <c r="W501" s="30" t="str">
        <f t="shared" si="85"/>
        <v/>
      </c>
      <c r="X501" s="33" t="str">
        <f t="shared" si="86"/>
        <v/>
      </c>
      <c r="Y501" s="34" t="str">
        <f t="shared" si="87"/>
        <v/>
      </c>
    </row>
    <row r="502" spans="1:25" x14ac:dyDescent="0.2">
      <c r="A502" s="35"/>
      <c r="B502" s="21"/>
      <c r="C502" s="18"/>
      <c r="D502" s="21"/>
      <c r="E502" s="21"/>
      <c r="F502" s="21"/>
      <c r="G502" s="36"/>
      <c r="H502" s="36"/>
      <c r="I502" s="36"/>
      <c r="J502" s="37"/>
      <c r="K502" s="18"/>
      <c r="L502" s="28" t="str">
        <f t="shared" si="77"/>
        <v/>
      </c>
      <c r="M502" s="29" t="str">
        <f t="shared" si="78"/>
        <v/>
      </c>
      <c r="N502" s="29" t="str">
        <f t="shared" si="79"/>
        <v/>
      </c>
      <c r="O502" s="30" t="str">
        <f t="shared" si="80"/>
        <v/>
      </c>
      <c r="P502" s="28" t="str">
        <f>IF($C502="","",IFERROR(INDEX(CA_TG,MATCH(B502,DS_CA,0))-INDEX(CA_NGHI,MATCH(B502,DS_CA,0))-SUMIFS('3 Nhật ký dừng máy'!$I$6:$I$1005,'3 Nhật ký dừng máy'!$A$6:$A$1005,$A502,'3 Nhật ký dừng máy'!$B$6:$B$1005,$B502,'3 Nhật ký dừng máy'!$C$6:$C$1005,$C502,'3 Nhật ký dừng máy'!$K$6:$K$1005,"Có kế hoạch"),"?"))</f>
        <v/>
      </c>
      <c r="Q502" s="28" t="str">
        <f>IF($C502="","",SUMIFS('3 Nhật ký dừng máy'!$I$6:$I$1005,'3 Nhật ký dừng máy'!$A$6:$A$1005,$A502,'3 Nhật ký dừng máy'!$B$6:$B$1005,$B502,'3 Nhật ký dừng máy'!$C$6:$C$1005,$C502,'3 Nhật ký dừng máy'!$K$6:$K$1005,"Ngoài kế hoạch"))</f>
        <v/>
      </c>
      <c r="R502" s="30" t="str">
        <f>IF($C502="","",COUNTIFS('3 Nhật ký dừng máy'!$A$6:$A$1005,$A502,'3 Nhật ký dừng máy'!$B$6:$B$1005,$B502,'3 Nhật ký dừng máy'!$C$6:$C$1005,$C502,'3 Nhật ký dừng máy'!$K$6:$K$1005,"Ngoài kế hoạch"))</f>
        <v/>
      </c>
      <c r="S502" s="31" t="str">
        <f t="shared" si="81"/>
        <v/>
      </c>
      <c r="T502" s="31" t="str">
        <f t="shared" si="82"/>
        <v/>
      </c>
      <c r="U502" s="31" t="str">
        <f t="shared" si="83"/>
        <v/>
      </c>
      <c r="V502" s="32" t="str">
        <f t="shared" si="84"/>
        <v/>
      </c>
      <c r="W502" s="30" t="str">
        <f t="shared" si="85"/>
        <v/>
      </c>
      <c r="X502" s="33" t="str">
        <f t="shared" si="86"/>
        <v/>
      </c>
      <c r="Y502" s="34" t="str">
        <f t="shared" si="87"/>
        <v/>
      </c>
    </row>
    <row r="503" spans="1:25" x14ac:dyDescent="0.2">
      <c r="A503" s="35"/>
      <c r="B503" s="21"/>
      <c r="C503" s="18"/>
      <c r="D503" s="21"/>
      <c r="E503" s="21"/>
      <c r="F503" s="21"/>
      <c r="G503" s="36"/>
      <c r="H503" s="36"/>
      <c r="I503" s="36"/>
      <c r="J503" s="37"/>
      <c r="K503" s="18"/>
      <c r="L503" s="28" t="str">
        <f t="shared" si="77"/>
        <v/>
      </c>
      <c r="M503" s="29" t="str">
        <f t="shared" si="78"/>
        <v/>
      </c>
      <c r="N503" s="29" t="str">
        <f t="shared" si="79"/>
        <v/>
      </c>
      <c r="O503" s="30" t="str">
        <f t="shared" si="80"/>
        <v/>
      </c>
      <c r="P503" s="28" t="str">
        <f>IF($C503="","",IFERROR(INDEX(CA_TG,MATCH(B503,DS_CA,0))-INDEX(CA_NGHI,MATCH(B503,DS_CA,0))-SUMIFS('3 Nhật ký dừng máy'!$I$6:$I$1005,'3 Nhật ký dừng máy'!$A$6:$A$1005,$A503,'3 Nhật ký dừng máy'!$B$6:$B$1005,$B503,'3 Nhật ký dừng máy'!$C$6:$C$1005,$C503,'3 Nhật ký dừng máy'!$K$6:$K$1005,"Có kế hoạch"),"?"))</f>
        <v/>
      </c>
      <c r="Q503" s="28" t="str">
        <f>IF($C503="","",SUMIFS('3 Nhật ký dừng máy'!$I$6:$I$1005,'3 Nhật ký dừng máy'!$A$6:$A$1005,$A503,'3 Nhật ký dừng máy'!$B$6:$B$1005,$B503,'3 Nhật ký dừng máy'!$C$6:$C$1005,$C503,'3 Nhật ký dừng máy'!$K$6:$K$1005,"Ngoài kế hoạch"))</f>
        <v/>
      </c>
      <c r="R503" s="30" t="str">
        <f>IF($C503="","",COUNTIFS('3 Nhật ký dừng máy'!$A$6:$A$1005,$A503,'3 Nhật ký dừng máy'!$B$6:$B$1005,$B503,'3 Nhật ký dừng máy'!$C$6:$C$1005,$C503,'3 Nhật ký dừng máy'!$K$6:$K$1005,"Ngoài kế hoạch"))</f>
        <v/>
      </c>
      <c r="S503" s="31" t="str">
        <f t="shared" si="81"/>
        <v/>
      </c>
      <c r="T503" s="31" t="str">
        <f t="shared" si="82"/>
        <v/>
      </c>
      <c r="U503" s="31" t="str">
        <f t="shared" si="83"/>
        <v/>
      </c>
      <c r="V503" s="32" t="str">
        <f t="shared" si="84"/>
        <v/>
      </c>
      <c r="W503" s="30" t="str">
        <f t="shared" si="85"/>
        <v/>
      </c>
      <c r="X503" s="33" t="str">
        <f t="shared" si="86"/>
        <v/>
      </c>
      <c r="Y503" s="34" t="str">
        <f t="shared" si="87"/>
        <v/>
      </c>
    </row>
    <row r="504" spans="1:25" x14ac:dyDescent="0.2">
      <c r="A504" s="35"/>
      <c r="B504" s="21"/>
      <c r="C504" s="18"/>
      <c r="D504" s="21"/>
      <c r="E504" s="21"/>
      <c r="F504" s="21"/>
      <c r="G504" s="36"/>
      <c r="H504" s="36"/>
      <c r="I504" s="36"/>
      <c r="J504" s="37"/>
      <c r="K504" s="18"/>
      <c r="L504" s="28" t="str">
        <f t="shared" si="77"/>
        <v/>
      </c>
      <c r="M504" s="29" t="str">
        <f t="shared" si="78"/>
        <v/>
      </c>
      <c r="N504" s="29" t="str">
        <f t="shared" si="79"/>
        <v/>
      </c>
      <c r="O504" s="30" t="str">
        <f t="shared" si="80"/>
        <v/>
      </c>
      <c r="P504" s="28" t="str">
        <f>IF($C504="","",IFERROR(INDEX(CA_TG,MATCH(B504,DS_CA,0))-INDEX(CA_NGHI,MATCH(B504,DS_CA,0))-SUMIFS('3 Nhật ký dừng máy'!$I$6:$I$1005,'3 Nhật ký dừng máy'!$A$6:$A$1005,$A504,'3 Nhật ký dừng máy'!$B$6:$B$1005,$B504,'3 Nhật ký dừng máy'!$C$6:$C$1005,$C504,'3 Nhật ký dừng máy'!$K$6:$K$1005,"Có kế hoạch"),"?"))</f>
        <v/>
      </c>
      <c r="Q504" s="28" t="str">
        <f>IF($C504="","",SUMIFS('3 Nhật ký dừng máy'!$I$6:$I$1005,'3 Nhật ký dừng máy'!$A$6:$A$1005,$A504,'3 Nhật ký dừng máy'!$B$6:$B$1005,$B504,'3 Nhật ký dừng máy'!$C$6:$C$1005,$C504,'3 Nhật ký dừng máy'!$K$6:$K$1005,"Ngoài kế hoạch"))</f>
        <v/>
      </c>
      <c r="R504" s="30" t="str">
        <f>IF($C504="","",COUNTIFS('3 Nhật ký dừng máy'!$A$6:$A$1005,$A504,'3 Nhật ký dừng máy'!$B$6:$B$1005,$B504,'3 Nhật ký dừng máy'!$C$6:$C$1005,$C504,'3 Nhật ký dừng máy'!$K$6:$K$1005,"Ngoài kế hoạch"))</f>
        <v/>
      </c>
      <c r="S504" s="31" t="str">
        <f t="shared" si="81"/>
        <v/>
      </c>
      <c r="T504" s="31" t="str">
        <f t="shared" si="82"/>
        <v/>
      </c>
      <c r="U504" s="31" t="str">
        <f t="shared" si="83"/>
        <v/>
      </c>
      <c r="V504" s="32" t="str">
        <f t="shared" si="84"/>
        <v/>
      </c>
      <c r="W504" s="30" t="str">
        <f t="shared" si="85"/>
        <v/>
      </c>
      <c r="X504" s="33" t="str">
        <f t="shared" si="86"/>
        <v/>
      </c>
      <c r="Y504" s="34" t="str">
        <f t="shared" si="87"/>
        <v/>
      </c>
    </row>
    <row r="505" spans="1:25" x14ac:dyDescent="0.2">
      <c r="A505" s="35"/>
      <c r="B505" s="21"/>
      <c r="C505" s="18"/>
      <c r="D505" s="21"/>
      <c r="E505" s="21"/>
      <c r="F505" s="21"/>
      <c r="G505" s="36"/>
      <c r="H505" s="36"/>
      <c r="I505" s="36"/>
      <c r="J505" s="37"/>
      <c r="K505" s="18"/>
      <c r="L505" s="28" t="str">
        <f t="shared" si="77"/>
        <v/>
      </c>
      <c r="M505" s="29" t="str">
        <f t="shared" si="78"/>
        <v/>
      </c>
      <c r="N505" s="29" t="str">
        <f t="shared" si="79"/>
        <v/>
      </c>
      <c r="O505" s="30" t="str">
        <f t="shared" si="80"/>
        <v/>
      </c>
      <c r="P505" s="28" t="str">
        <f>IF($C505="","",IFERROR(INDEX(CA_TG,MATCH(B505,DS_CA,0))-INDEX(CA_NGHI,MATCH(B505,DS_CA,0))-SUMIFS('3 Nhật ký dừng máy'!$I$6:$I$1005,'3 Nhật ký dừng máy'!$A$6:$A$1005,$A505,'3 Nhật ký dừng máy'!$B$6:$B$1005,$B505,'3 Nhật ký dừng máy'!$C$6:$C$1005,$C505,'3 Nhật ký dừng máy'!$K$6:$K$1005,"Có kế hoạch"),"?"))</f>
        <v/>
      </c>
      <c r="Q505" s="28" t="str">
        <f>IF($C505="","",SUMIFS('3 Nhật ký dừng máy'!$I$6:$I$1005,'3 Nhật ký dừng máy'!$A$6:$A$1005,$A505,'3 Nhật ký dừng máy'!$B$6:$B$1005,$B505,'3 Nhật ký dừng máy'!$C$6:$C$1005,$C505,'3 Nhật ký dừng máy'!$K$6:$K$1005,"Ngoài kế hoạch"))</f>
        <v/>
      </c>
      <c r="R505" s="30" t="str">
        <f>IF($C505="","",COUNTIFS('3 Nhật ký dừng máy'!$A$6:$A$1005,$A505,'3 Nhật ký dừng máy'!$B$6:$B$1005,$B505,'3 Nhật ký dừng máy'!$C$6:$C$1005,$C505,'3 Nhật ký dừng máy'!$K$6:$K$1005,"Ngoài kế hoạch"))</f>
        <v/>
      </c>
      <c r="S505" s="31" t="str">
        <f t="shared" si="81"/>
        <v/>
      </c>
      <c r="T505" s="31" t="str">
        <f t="shared" si="82"/>
        <v/>
      </c>
      <c r="U505" s="31" t="str">
        <f t="shared" si="83"/>
        <v/>
      </c>
      <c r="V505" s="32" t="str">
        <f t="shared" si="84"/>
        <v/>
      </c>
      <c r="W505" s="30" t="str">
        <f t="shared" si="85"/>
        <v/>
      </c>
      <c r="X505" s="33" t="str">
        <f t="shared" si="86"/>
        <v/>
      </c>
      <c r="Y505" s="34" t="str">
        <f t="shared" si="87"/>
        <v/>
      </c>
    </row>
  </sheetData>
  <conditionalFormatting sqref="V6:V505">
    <cfRule type="cellIs" dxfId="6" priority="2" operator="greaterThan">
      <formula>1</formula>
    </cfRule>
  </conditionalFormatting>
  <conditionalFormatting sqref="X6:X505">
    <cfRule type="expression" dxfId="5" priority="1">
      <formula>LEN(X6)&gt;0</formula>
    </cfRule>
  </conditionalFormatting>
  <dataValidations count="5">
    <dataValidation type="list" allowBlank="1" showErrorMessage="1" errorTitle="Không có trong danh sách" error="Chọn từ danh sách ở trang 1 Danh mục." sqref="B6:B505" xr:uid="{00000000-0002-0000-0200-000000000000}">
      <formula1>DS_CA</formula1>
    </dataValidation>
    <dataValidation type="list" allowBlank="1" showErrorMessage="1" errorTitle="Không có trong danh sách" error="Chọn từ danh sách ở trang 1 Danh mục." sqref="C6:C505" xr:uid="{00000000-0002-0000-0200-000001000000}">
      <formula1>DS_MAY</formula1>
    </dataValidation>
    <dataValidation type="list" allowBlank="1" showErrorMessage="1" errorTitle="Không có trong danh sách" error="Chọn từ danh sách ở trang 1 Danh mục." sqref="D6:D505" xr:uid="{00000000-0002-0000-0200-000002000000}">
      <formula1>DS_NV</formula1>
    </dataValidation>
    <dataValidation type="list" allowBlank="1" showErrorMessage="1" errorTitle="Không có trong danh sách" error="Chọn từ danh sách ở trang 1 Danh mục." sqref="E6:E505" xr:uid="{00000000-0002-0000-0200-000003000000}">
      <formula1>DS_MH</formula1>
    </dataValidation>
    <dataValidation type="list" allowBlank="1" showErrorMessage="1" errorTitle="Không có trong danh sách" error="Chọn từ danh sách ở trang 1 Danh mục." sqref="F6:F505" xr:uid="{00000000-0002-0000-0200-000004000000}">
      <formula1>DS_LSX</formula1>
    </dataValidation>
  </dataValidations>
  <hyperlinks>
    <hyperlink ref="A3" location="'Bắt đầu'!A1" display="← Về trang Bắt đầu" xr:uid="{00000000-0004-0000-0200-000000000000}"/>
  </hyperlinks>
  <pageMargins left="0.75" right="0.75" top="1" bottom="1" header="0.5" footer="0.5"/>
  <pageSetup fitToHeight="0" orientation="landscape"/>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1005"/>
  <sheetViews>
    <sheetView showGridLines="0" workbookViewId="0">
      <pane xSplit="3" ySplit="5" topLeftCell="D6" activePane="bottomRight" state="frozen"/>
      <selection pane="topRight"/>
      <selection pane="bottomLeft"/>
      <selection pane="bottomRight"/>
    </sheetView>
  </sheetViews>
  <sheetFormatPr baseColWidth="10" defaultColWidth="8.83203125" defaultRowHeight="15" x14ac:dyDescent="0.2"/>
  <cols>
    <col min="1" max="1" width="11" customWidth="1"/>
    <col min="2" max="2" width="6" customWidth="1"/>
    <col min="3" max="3" width="12" customWidth="1"/>
    <col min="4" max="7" width="8" customWidth="1"/>
    <col min="8" max="8" width="22" customWidth="1"/>
    <col min="9" max="9" width="7" customWidth="1"/>
    <col min="10" max="10" width="24" customWidth="1"/>
    <col min="11" max="12" width="14" customWidth="1"/>
    <col min="13" max="13" width="10" customWidth="1"/>
  </cols>
  <sheetData>
    <row r="1" spans="1:13" ht="18" x14ac:dyDescent="0.2">
      <c r="A1" s="9" t="s">
        <v>155</v>
      </c>
    </row>
    <row r="2" spans="1:13" x14ac:dyDescent="0.2">
      <c r="A2" s="2" t="s">
        <v>156</v>
      </c>
    </row>
    <row r="3" spans="1:13" x14ac:dyDescent="0.2">
      <c r="A3" s="10" t="s">
        <v>37</v>
      </c>
    </row>
    <row r="5" spans="1:13" ht="42" customHeight="1" x14ac:dyDescent="0.2">
      <c r="A5" s="12" t="s">
        <v>127</v>
      </c>
      <c r="B5" s="12" t="s">
        <v>46</v>
      </c>
      <c r="C5" s="12" t="s">
        <v>44</v>
      </c>
      <c r="D5" s="12" t="s">
        <v>47</v>
      </c>
      <c r="E5" s="12" t="s">
        <v>48</v>
      </c>
      <c r="F5" s="12" t="s">
        <v>157</v>
      </c>
      <c r="G5" s="12" t="s">
        <v>158</v>
      </c>
      <c r="H5" s="12" t="s">
        <v>134</v>
      </c>
      <c r="I5" s="12" t="s">
        <v>159</v>
      </c>
      <c r="J5" s="12" t="s">
        <v>55</v>
      </c>
      <c r="K5" s="12" t="s">
        <v>56</v>
      </c>
      <c r="L5" s="12" t="s">
        <v>57</v>
      </c>
      <c r="M5" s="12" t="s">
        <v>160</v>
      </c>
    </row>
    <row r="6" spans="1:13" x14ac:dyDescent="0.2">
      <c r="A6" s="25">
        <v>46286</v>
      </c>
      <c r="B6" s="17" t="s">
        <v>63</v>
      </c>
      <c r="C6" s="13" t="s">
        <v>61</v>
      </c>
      <c r="D6" s="15">
        <v>0.35416666666666669</v>
      </c>
      <c r="E6" s="15">
        <v>0.39583333333333331</v>
      </c>
      <c r="F6" s="17" t="s">
        <v>105</v>
      </c>
      <c r="G6" s="17" t="s">
        <v>70</v>
      </c>
      <c r="H6" s="18"/>
      <c r="I6" s="30">
        <f t="shared" ref="I6:I69" si="0">IF(OR(D6="",E6=""),"",ROUND(MOD(E6-D6,1)*1440,0))</f>
        <v>60</v>
      </c>
      <c r="J6" s="38" t="str">
        <f t="shared" ref="J6:J69" si="1">IF(F6="","",IFERROR(INDEX(LYDO_TEN,MATCH(F6,DS_LYDO,0)),"?"))</f>
        <v>Chờ người, thiếu người</v>
      </c>
      <c r="K6" s="30" t="str">
        <f t="shared" ref="K6:K69" si="2">IF(F6="","",IFERROR(INDEX(LYDO_LOAI,MATCH(F6,DS_LYDO,0)),"?"))</f>
        <v>Ngoài kế hoạch</v>
      </c>
      <c r="L6" s="30" t="str">
        <f t="shared" ref="L6:L69" si="3">IF(F6="","",IFERROR(INDEX(LYDO_BP,MATCH(F6,DS_LYDO,0)),"?"))</f>
        <v>Sản xuất</v>
      </c>
      <c r="M6" s="30">
        <f t="shared" ref="M6:M69" si="4">IF(I6="","",IF(MOD(I6,5)=0,1,0))</f>
        <v>1</v>
      </c>
    </row>
    <row r="7" spans="1:13" x14ac:dyDescent="0.2">
      <c r="A7" s="25">
        <v>46286</v>
      </c>
      <c r="B7" s="17" t="s">
        <v>63</v>
      </c>
      <c r="C7" s="13" t="s">
        <v>61</v>
      </c>
      <c r="D7" s="15">
        <v>0.41111111111111109</v>
      </c>
      <c r="E7" s="15">
        <v>0.43194444444444452</v>
      </c>
      <c r="F7" s="17" t="s">
        <v>101</v>
      </c>
      <c r="G7" s="17" t="s">
        <v>70</v>
      </c>
      <c r="H7" s="18"/>
      <c r="I7" s="30">
        <f t="shared" si="0"/>
        <v>30</v>
      </c>
      <c r="J7" s="38" t="str">
        <f t="shared" si="1"/>
        <v>Chờ vật tư, phôi</v>
      </c>
      <c r="K7" s="30" t="str">
        <f t="shared" si="2"/>
        <v>Ngoài kế hoạch</v>
      </c>
      <c r="L7" s="30" t="str">
        <f t="shared" si="3"/>
        <v>Kế hoạch – kho</v>
      </c>
      <c r="M7" s="30">
        <f t="shared" si="4"/>
        <v>1</v>
      </c>
    </row>
    <row r="8" spans="1:13" x14ac:dyDescent="0.2">
      <c r="A8" s="25">
        <v>46286</v>
      </c>
      <c r="B8" s="17" t="s">
        <v>63</v>
      </c>
      <c r="C8" s="13" t="s">
        <v>72</v>
      </c>
      <c r="D8" s="15">
        <v>0.34375</v>
      </c>
      <c r="E8" s="15">
        <v>0.36458333333333331</v>
      </c>
      <c r="F8" s="17" t="s">
        <v>94</v>
      </c>
      <c r="G8" s="17" t="s">
        <v>78</v>
      </c>
      <c r="H8" s="18"/>
      <c r="I8" s="30">
        <f t="shared" si="0"/>
        <v>30</v>
      </c>
      <c r="J8" s="38" t="str">
        <f t="shared" si="1"/>
        <v>Chỉnh máy, chạy mẫu đầu</v>
      </c>
      <c r="K8" s="30" t="str">
        <f t="shared" si="2"/>
        <v>Ngoài kế hoạch</v>
      </c>
      <c r="L8" s="30" t="str">
        <f t="shared" si="3"/>
        <v>Sản xuất</v>
      </c>
      <c r="M8" s="30">
        <f t="shared" si="4"/>
        <v>1</v>
      </c>
    </row>
    <row r="9" spans="1:13" x14ac:dyDescent="0.2">
      <c r="A9" s="25">
        <v>46286</v>
      </c>
      <c r="B9" s="17" t="s">
        <v>63</v>
      </c>
      <c r="C9" s="13" t="s">
        <v>81</v>
      </c>
      <c r="D9" s="15">
        <v>0.31944444444444442</v>
      </c>
      <c r="E9" s="15">
        <v>0.33333333333333331</v>
      </c>
      <c r="F9" s="17" t="s">
        <v>94</v>
      </c>
      <c r="G9" s="17" t="s">
        <v>88</v>
      </c>
      <c r="H9" s="18"/>
      <c r="I9" s="30">
        <f t="shared" si="0"/>
        <v>20</v>
      </c>
      <c r="J9" s="38" t="str">
        <f t="shared" si="1"/>
        <v>Chỉnh máy, chạy mẫu đầu</v>
      </c>
      <c r="K9" s="30" t="str">
        <f t="shared" si="2"/>
        <v>Ngoài kế hoạch</v>
      </c>
      <c r="L9" s="30" t="str">
        <f t="shared" si="3"/>
        <v>Sản xuất</v>
      </c>
      <c r="M9" s="30">
        <f t="shared" si="4"/>
        <v>1</v>
      </c>
    </row>
    <row r="10" spans="1:13" x14ac:dyDescent="0.2">
      <c r="A10" s="25">
        <v>46286</v>
      </c>
      <c r="B10" s="17" t="s">
        <v>63</v>
      </c>
      <c r="C10" s="13" t="s">
        <v>81</v>
      </c>
      <c r="D10" s="15">
        <v>0.3611111111111111</v>
      </c>
      <c r="E10" s="15">
        <v>0.38194444444444442</v>
      </c>
      <c r="F10" s="17" t="s">
        <v>101</v>
      </c>
      <c r="G10" s="17" t="s">
        <v>88</v>
      </c>
      <c r="H10" s="18"/>
      <c r="I10" s="30">
        <f t="shared" si="0"/>
        <v>30</v>
      </c>
      <c r="J10" s="38" t="str">
        <f t="shared" si="1"/>
        <v>Chờ vật tư, phôi</v>
      </c>
      <c r="K10" s="30" t="str">
        <f t="shared" si="2"/>
        <v>Ngoài kế hoạch</v>
      </c>
      <c r="L10" s="30" t="str">
        <f t="shared" si="3"/>
        <v>Kế hoạch – kho</v>
      </c>
      <c r="M10" s="30">
        <f t="shared" si="4"/>
        <v>1</v>
      </c>
    </row>
    <row r="11" spans="1:13" x14ac:dyDescent="0.2">
      <c r="A11" s="25">
        <v>46286</v>
      </c>
      <c r="B11" s="17" t="s">
        <v>63</v>
      </c>
      <c r="C11" s="13" t="s">
        <v>90</v>
      </c>
      <c r="D11" s="15">
        <v>0.34375</v>
      </c>
      <c r="E11" s="15">
        <v>0.36458333333333331</v>
      </c>
      <c r="F11" s="17" t="s">
        <v>101</v>
      </c>
      <c r="G11" s="17" t="s">
        <v>96</v>
      </c>
      <c r="H11" s="18"/>
      <c r="I11" s="30">
        <f t="shared" si="0"/>
        <v>30</v>
      </c>
      <c r="J11" s="38" t="str">
        <f t="shared" si="1"/>
        <v>Chờ vật tư, phôi</v>
      </c>
      <c r="K11" s="30" t="str">
        <f t="shared" si="2"/>
        <v>Ngoài kế hoạch</v>
      </c>
      <c r="L11" s="30" t="str">
        <f t="shared" si="3"/>
        <v>Kế hoạch – kho</v>
      </c>
      <c r="M11" s="30">
        <f t="shared" si="4"/>
        <v>1</v>
      </c>
    </row>
    <row r="12" spans="1:13" x14ac:dyDescent="0.2">
      <c r="A12" s="25">
        <v>46286</v>
      </c>
      <c r="B12" s="17" t="s">
        <v>73</v>
      </c>
      <c r="C12" s="13" t="s">
        <v>61</v>
      </c>
      <c r="D12" s="15">
        <v>0.6875</v>
      </c>
      <c r="E12" s="15">
        <v>0.69444444444444442</v>
      </c>
      <c r="F12" s="17" t="s">
        <v>101</v>
      </c>
      <c r="G12" s="17" t="s">
        <v>103</v>
      </c>
      <c r="H12" s="18"/>
      <c r="I12" s="30">
        <f t="shared" si="0"/>
        <v>10</v>
      </c>
      <c r="J12" s="38" t="str">
        <f t="shared" si="1"/>
        <v>Chờ vật tư, phôi</v>
      </c>
      <c r="K12" s="30" t="str">
        <f t="shared" si="2"/>
        <v>Ngoài kế hoạch</v>
      </c>
      <c r="L12" s="30" t="str">
        <f t="shared" si="3"/>
        <v>Kế hoạch – kho</v>
      </c>
      <c r="M12" s="30">
        <f t="shared" si="4"/>
        <v>1</v>
      </c>
    </row>
    <row r="13" spans="1:13" x14ac:dyDescent="0.2">
      <c r="A13" s="25">
        <v>46286</v>
      </c>
      <c r="B13" s="17" t="s">
        <v>73</v>
      </c>
      <c r="C13" s="13" t="s">
        <v>61</v>
      </c>
      <c r="D13" s="15">
        <v>0.73611111111111116</v>
      </c>
      <c r="E13" s="15">
        <v>0.77777777777777779</v>
      </c>
      <c r="F13" s="17" t="s">
        <v>101</v>
      </c>
      <c r="G13" s="17" t="s">
        <v>103</v>
      </c>
      <c r="H13" s="18"/>
      <c r="I13" s="30">
        <f t="shared" si="0"/>
        <v>60</v>
      </c>
      <c r="J13" s="38" t="str">
        <f t="shared" si="1"/>
        <v>Chờ vật tư, phôi</v>
      </c>
      <c r="K13" s="30" t="str">
        <f t="shared" si="2"/>
        <v>Ngoài kế hoạch</v>
      </c>
      <c r="L13" s="30" t="str">
        <f t="shared" si="3"/>
        <v>Kế hoạch – kho</v>
      </c>
      <c r="M13" s="30">
        <f t="shared" si="4"/>
        <v>1</v>
      </c>
    </row>
    <row r="14" spans="1:13" x14ac:dyDescent="0.2">
      <c r="A14" s="25">
        <v>46286</v>
      </c>
      <c r="B14" s="17" t="s">
        <v>73</v>
      </c>
      <c r="C14" s="13" t="s">
        <v>72</v>
      </c>
      <c r="D14" s="15">
        <v>0.66666666666666663</v>
      </c>
      <c r="E14" s="15">
        <v>0.67361111111111116</v>
      </c>
      <c r="F14" s="17" t="s">
        <v>66</v>
      </c>
      <c r="G14" s="17" t="s">
        <v>107</v>
      </c>
      <c r="H14" s="18"/>
      <c r="I14" s="30">
        <f t="shared" si="0"/>
        <v>10</v>
      </c>
      <c r="J14" s="38" t="str">
        <f t="shared" si="1"/>
        <v>Hỏng máy — cơ khí</v>
      </c>
      <c r="K14" s="30" t="str">
        <f t="shared" si="2"/>
        <v>Ngoài kế hoạch</v>
      </c>
      <c r="L14" s="30" t="str">
        <f t="shared" si="3"/>
        <v>Bảo trì</v>
      </c>
      <c r="M14" s="30">
        <f t="shared" si="4"/>
        <v>1</v>
      </c>
    </row>
    <row r="15" spans="1:13" x14ac:dyDescent="0.2">
      <c r="A15" s="25">
        <v>46286</v>
      </c>
      <c r="B15" s="17" t="s">
        <v>73</v>
      </c>
      <c r="C15" s="13" t="s">
        <v>81</v>
      </c>
      <c r="D15" s="15">
        <v>0.63888888888888884</v>
      </c>
      <c r="E15" s="15">
        <v>0.66666666666666663</v>
      </c>
      <c r="F15" s="17" t="s">
        <v>109</v>
      </c>
      <c r="G15" s="17" t="s">
        <v>111</v>
      </c>
      <c r="H15" s="18"/>
      <c r="I15" s="30">
        <f t="shared" si="0"/>
        <v>40</v>
      </c>
      <c r="J15" s="38" t="str">
        <f t="shared" si="1"/>
        <v>Chờ QC kiểm tra</v>
      </c>
      <c r="K15" s="30" t="str">
        <f t="shared" si="2"/>
        <v>Ngoài kế hoạch</v>
      </c>
      <c r="L15" s="30" t="str">
        <f t="shared" si="3"/>
        <v>QC</v>
      </c>
      <c r="M15" s="30">
        <f t="shared" si="4"/>
        <v>1</v>
      </c>
    </row>
    <row r="16" spans="1:13" x14ac:dyDescent="0.2">
      <c r="A16" s="25">
        <v>46286</v>
      </c>
      <c r="B16" s="17" t="s">
        <v>73</v>
      </c>
      <c r="C16" s="13" t="s">
        <v>81</v>
      </c>
      <c r="D16" s="15">
        <v>0.68055555555555558</v>
      </c>
      <c r="E16" s="15">
        <v>0.69236111111111109</v>
      </c>
      <c r="F16" s="17" t="s">
        <v>94</v>
      </c>
      <c r="G16" s="17" t="s">
        <v>111</v>
      </c>
      <c r="H16" s="18"/>
      <c r="I16" s="30">
        <f t="shared" si="0"/>
        <v>17</v>
      </c>
      <c r="J16" s="38" t="str">
        <f t="shared" si="1"/>
        <v>Chỉnh máy, chạy mẫu đầu</v>
      </c>
      <c r="K16" s="30" t="str">
        <f t="shared" si="2"/>
        <v>Ngoài kế hoạch</v>
      </c>
      <c r="L16" s="30" t="str">
        <f t="shared" si="3"/>
        <v>Sản xuất</v>
      </c>
      <c r="M16" s="30">
        <f t="shared" si="4"/>
        <v>0</v>
      </c>
    </row>
    <row r="17" spans="1:13" x14ac:dyDescent="0.2">
      <c r="A17" s="25">
        <v>46286</v>
      </c>
      <c r="B17" s="17" t="s">
        <v>73</v>
      </c>
      <c r="C17" s="13" t="s">
        <v>90</v>
      </c>
      <c r="D17" s="15">
        <v>0.63888888888888884</v>
      </c>
      <c r="E17" s="15">
        <v>0.66666666666666663</v>
      </c>
      <c r="F17" s="17" t="s">
        <v>94</v>
      </c>
      <c r="G17" s="17" t="s">
        <v>116</v>
      </c>
      <c r="H17" s="18"/>
      <c r="I17" s="30">
        <f t="shared" si="0"/>
        <v>40</v>
      </c>
      <c r="J17" s="38" t="str">
        <f t="shared" si="1"/>
        <v>Chỉnh máy, chạy mẫu đầu</v>
      </c>
      <c r="K17" s="30" t="str">
        <f t="shared" si="2"/>
        <v>Ngoài kế hoạch</v>
      </c>
      <c r="L17" s="30" t="str">
        <f t="shared" si="3"/>
        <v>Sản xuất</v>
      </c>
      <c r="M17" s="30">
        <f t="shared" si="4"/>
        <v>1</v>
      </c>
    </row>
    <row r="18" spans="1:13" x14ac:dyDescent="0.2">
      <c r="A18" s="25">
        <v>46286</v>
      </c>
      <c r="B18" s="17" t="s">
        <v>73</v>
      </c>
      <c r="C18" s="13" t="s">
        <v>90</v>
      </c>
      <c r="D18" s="15">
        <v>0.68055555555555558</v>
      </c>
      <c r="E18" s="15">
        <v>0.71180555555555558</v>
      </c>
      <c r="F18" s="17" t="s">
        <v>66</v>
      </c>
      <c r="G18" s="17" t="s">
        <v>116</v>
      </c>
      <c r="H18" s="18"/>
      <c r="I18" s="30">
        <f t="shared" si="0"/>
        <v>45</v>
      </c>
      <c r="J18" s="38" t="str">
        <f t="shared" si="1"/>
        <v>Hỏng máy — cơ khí</v>
      </c>
      <c r="K18" s="30" t="str">
        <f t="shared" si="2"/>
        <v>Ngoài kế hoạch</v>
      </c>
      <c r="L18" s="30" t="str">
        <f t="shared" si="3"/>
        <v>Bảo trì</v>
      </c>
      <c r="M18" s="30">
        <f t="shared" si="4"/>
        <v>1</v>
      </c>
    </row>
    <row r="19" spans="1:13" x14ac:dyDescent="0.2">
      <c r="A19" s="25">
        <v>46287</v>
      </c>
      <c r="B19" s="17" t="s">
        <v>63</v>
      </c>
      <c r="C19" s="13" t="s">
        <v>61</v>
      </c>
      <c r="D19" s="15">
        <v>0.30555555555555558</v>
      </c>
      <c r="E19" s="15">
        <v>0.3298611111111111</v>
      </c>
      <c r="F19" s="17" t="s">
        <v>101</v>
      </c>
      <c r="G19" s="17" t="s">
        <v>70</v>
      </c>
      <c r="H19" s="18"/>
      <c r="I19" s="30">
        <f t="shared" si="0"/>
        <v>35</v>
      </c>
      <c r="J19" s="38" t="str">
        <f t="shared" si="1"/>
        <v>Chờ vật tư, phôi</v>
      </c>
      <c r="K19" s="30" t="str">
        <f t="shared" si="2"/>
        <v>Ngoài kế hoạch</v>
      </c>
      <c r="L19" s="30" t="str">
        <f t="shared" si="3"/>
        <v>Kế hoạch – kho</v>
      </c>
      <c r="M19" s="30">
        <f t="shared" si="4"/>
        <v>1</v>
      </c>
    </row>
    <row r="20" spans="1:13" x14ac:dyDescent="0.2">
      <c r="A20" s="25">
        <v>46287</v>
      </c>
      <c r="B20" s="17" t="s">
        <v>63</v>
      </c>
      <c r="C20" s="13" t="s">
        <v>72</v>
      </c>
      <c r="D20" s="15">
        <v>0.31944444444444442</v>
      </c>
      <c r="E20" s="15">
        <v>0.34722222222222221</v>
      </c>
      <c r="F20" s="17" t="s">
        <v>66</v>
      </c>
      <c r="G20" s="17" t="s">
        <v>78</v>
      </c>
      <c r="H20" s="18"/>
      <c r="I20" s="30">
        <f t="shared" si="0"/>
        <v>40</v>
      </c>
      <c r="J20" s="38" t="str">
        <f t="shared" si="1"/>
        <v>Hỏng máy — cơ khí</v>
      </c>
      <c r="K20" s="30" t="str">
        <f t="shared" si="2"/>
        <v>Ngoài kế hoạch</v>
      </c>
      <c r="L20" s="30" t="str">
        <f t="shared" si="3"/>
        <v>Bảo trì</v>
      </c>
      <c r="M20" s="30">
        <f t="shared" si="4"/>
        <v>1</v>
      </c>
    </row>
    <row r="21" spans="1:13" x14ac:dyDescent="0.2">
      <c r="A21" s="25">
        <v>46287</v>
      </c>
      <c r="B21" s="17" t="s">
        <v>63</v>
      </c>
      <c r="C21" s="13" t="s">
        <v>72</v>
      </c>
      <c r="D21" s="15">
        <v>0.39930555555555558</v>
      </c>
      <c r="E21" s="15">
        <v>0.42222222222222222</v>
      </c>
      <c r="F21" s="17" t="s">
        <v>114</v>
      </c>
      <c r="G21" s="17" t="s">
        <v>78</v>
      </c>
      <c r="H21" s="18"/>
      <c r="I21" s="30">
        <f t="shared" si="0"/>
        <v>33</v>
      </c>
      <c r="J21" s="38" t="str">
        <f t="shared" si="1"/>
        <v>Dừng khác</v>
      </c>
      <c r="K21" s="30" t="str">
        <f t="shared" si="2"/>
        <v>Ngoài kế hoạch</v>
      </c>
      <c r="L21" s="30" t="str">
        <f t="shared" si="3"/>
        <v>Sản xuất</v>
      </c>
      <c r="M21" s="30">
        <f t="shared" si="4"/>
        <v>0</v>
      </c>
    </row>
    <row r="22" spans="1:13" x14ac:dyDescent="0.2">
      <c r="A22" s="25">
        <v>46287</v>
      </c>
      <c r="B22" s="17" t="s">
        <v>63</v>
      </c>
      <c r="C22" s="13" t="s">
        <v>72</v>
      </c>
      <c r="D22" s="15">
        <v>0.47222222222222221</v>
      </c>
      <c r="E22" s="15">
        <v>0.50347222222222221</v>
      </c>
      <c r="F22" s="17" t="s">
        <v>76</v>
      </c>
      <c r="G22" s="17" t="s">
        <v>78</v>
      </c>
      <c r="H22" s="18"/>
      <c r="I22" s="30">
        <f t="shared" si="0"/>
        <v>45</v>
      </c>
      <c r="J22" s="38" t="str">
        <f t="shared" si="1"/>
        <v>Hỏng máy — điện, điều khiển</v>
      </c>
      <c r="K22" s="30" t="str">
        <f t="shared" si="2"/>
        <v>Ngoài kế hoạch</v>
      </c>
      <c r="L22" s="30" t="str">
        <f t="shared" si="3"/>
        <v>Bảo trì</v>
      </c>
      <c r="M22" s="30">
        <f t="shared" si="4"/>
        <v>1</v>
      </c>
    </row>
    <row r="23" spans="1:13" x14ac:dyDescent="0.2">
      <c r="A23" s="25">
        <v>46287</v>
      </c>
      <c r="B23" s="17" t="s">
        <v>63</v>
      </c>
      <c r="C23" s="13" t="s">
        <v>81</v>
      </c>
      <c r="D23" s="15">
        <v>0.35902777777777778</v>
      </c>
      <c r="E23" s="15">
        <v>0.37291666666666667</v>
      </c>
      <c r="F23" s="17" t="s">
        <v>94</v>
      </c>
      <c r="G23" s="17" t="s">
        <v>88</v>
      </c>
      <c r="H23" s="18"/>
      <c r="I23" s="30">
        <f t="shared" si="0"/>
        <v>20</v>
      </c>
      <c r="J23" s="38" t="str">
        <f t="shared" si="1"/>
        <v>Chỉnh máy, chạy mẫu đầu</v>
      </c>
      <c r="K23" s="30" t="str">
        <f t="shared" si="2"/>
        <v>Ngoài kế hoạch</v>
      </c>
      <c r="L23" s="30" t="str">
        <f t="shared" si="3"/>
        <v>Sản xuất</v>
      </c>
      <c r="M23" s="30">
        <f t="shared" si="4"/>
        <v>1</v>
      </c>
    </row>
    <row r="24" spans="1:13" x14ac:dyDescent="0.2">
      <c r="A24" s="25">
        <v>46287</v>
      </c>
      <c r="B24" s="17" t="s">
        <v>63</v>
      </c>
      <c r="C24" s="13" t="s">
        <v>81</v>
      </c>
      <c r="D24" s="15">
        <v>0.4236111111111111</v>
      </c>
      <c r="E24" s="15">
        <v>0.4375</v>
      </c>
      <c r="F24" s="17" t="s">
        <v>66</v>
      </c>
      <c r="G24" s="17" t="s">
        <v>88</v>
      </c>
      <c r="H24" s="18"/>
      <c r="I24" s="30">
        <f t="shared" si="0"/>
        <v>20</v>
      </c>
      <c r="J24" s="38" t="str">
        <f t="shared" si="1"/>
        <v>Hỏng máy — cơ khí</v>
      </c>
      <c r="K24" s="30" t="str">
        <f t="shared" si="2"/>
        <v>Ngoài kế hoạch</v>
      </c>
      <c r="L24" s="30" t="str">
        <f t="shared" si="3"/>
        <v>Bảo trì</v>
      </c>
      <c r="M24" s="30">
        <f t="shared" si="4"/>
        <v>1</v>
      </c>
    </row>
    <row r="25" spans="1:13" x14ac:dyDescent="0.2">
      <c r="A25" s="25">
        <v>46287</v>
      </c>
      <c r="B25" s="17" t="s">
        <v>63</v>
      </c>
      <c r="C25" s="13" t="s">
        <v>90</v>
      </c>
      <c r="D25" s="15">
        <v>0.34375</v>
      </c>
      <c r="E25" s="15">
        <v>0.34930555555555548</v>
      </c>
      <c r="F25" s="17" t="s">
        <v>101</v>
      </c>
      <c r="G25" s="17" t="s">
        <v>96</v>
      </c>
      <c r="H25" s="18"/>
      <c r="I25" s="30">
        <f t="shared" si="0"/>
        <v>8</v>
      </c>
      <c r="J25" s="38" t="str">
        <f t="shared" si="1"/>
        <v>Chờ vật tư, phôi</v>
      </c>
      <c r="K25" s="30" t="str">
        <f t="shared" si="2"/>
        <v>Ngoài kế hoạch</v>
      </c>
      <c r="L25" s="30" t="str">
        <f t="shared" si="3"/>
        <v>Kế hoạch – kho</v>
      </c>
      <c r="M25" s="30">
        <f t="shared" si="4"/>
        <v>0</v>
      </c>
    </row>
    <row r="26" spans="1:13" x14ac:dyDescent="0.2">
      <c r="A26" s="25">
        <v>46287</v>
      </c>
      <c r="B26" s="17" t="s">
        <v>73</v>
      </c>
      <c r="C26" s="13" t="s">
        <v>72</v>
      </c>
      <c r="D26" s="15">
        <v>0.66666666666666663</v>
      </c>
      <c r="E26" s="15">
        <v>0.69444444444444442</v>
      </c>
      <c r="F26" s="17" t="s">
        <v>105</v>
      </c>
      <c r="G26" s="17" t="s">
        <v>107</v>
      </c>
      <c r="H26" s="18"/>
      <c r="I26" s="30">
        <f t="shared" si="0"/>
        <v>40</v>
      </c>
      <c r="J26" s="38" t="str">
        <f t="shared" si="1"/>
        <v>Chờ người, thiếu người</v>
      </c>
      <c r="K26" s="30" t="str">
        <f t="shared" si="2"/>
        <v>Ngoài kế hoạch</v>
      </c>
      <c r="L26" s="30" t="str">
        <f t="shared" si="3"/>
        <v>Sản xuất</v>
      </c>
      <c r="M26" s="30">
        <f t="shared" si="4"/>
        <v>1</v>
      </c>
    </row>
    <row r="27" spans="1:13" x14ac:dyDescent="0.2">
      <c r="A27" s="25">
        <v>46287</v>
      </c>
      <c r="B27" s="17" t="s">
        <v>73</v>
      </c>
      <c r="C27" s="13" t="s">
        <v>81</v>
      </c>
      <c r="D27" s="15">
        <v>0.6875</v>
      </c>
      <c r="E27" s="15">
        <v>0.72916666666666663</v>
      </c>
      <c r="F27" s="17" t="s">
        <v>94</v>
      </c>
      <c r="G27" s="17" t="s">
        <v>111</v>
      </c>
      <c r="H27" s="18"/>
      <c r="I27" s="30">
        <f t="shared" si="0"/>
        <v>60</v>
      </c>
      <c r="J27" s="38" t="str">
        <f t="shared" si="1"/>
        <v>Chỉnh máy, chạy mẫu đầu</v>
      </c>
      <c r="K27" s="30" t="str">
        <f t="shared" si="2"/>
        <v>Ngoài kế hoạch</v>
      </c>
      <c r="L27" s="30" t="str">
        <f t="shared" si="3"/>
        <v>Sản xuất</v>
      </c>
      <c r="M27" s="30">
        <f t="shared" si="4"/>
        <v>1</v>
      </c>
    </row>
    <row r="28" spans="1:13" x14ac:dyDescent="0.2">
      <c r="A28" s="25">
        <v>46287</v>
      </c>
      <c r="B28" s="17" t="s">
        <v>73</v>
      </c>
      <c r="C28" s="13" t="s">
        <v>81</v>
      </c>
      <c r="D28" s="15">
        <v>0.77083333333333337</v>
      </c>
      <c r="E28" s="15">
        <v>0.79513888888888884</v>
      </c>
      <c r="F28" s="17" t="s">
        <v>101</v>
      </c>
      <c r="G28" s="17" t="s">
        <v>111</v>
      </c>
      <c r="H28" s="18"/>
      <c r="I28" s="30">
        <f t="shared" si="0"/>
        <v>35</v>
      </c>
      <c r="J28" s="38" t="str">
        <f t="shared" si="1"/>
        <v>Chờ vật tư, phôi</v>
      </c>
      <c r="K28" s="30" t="str">
        <f t="shared" si="2"/>
        <v>Ngoài kế hoạch</v>
      </c>
      <c r="L28" s="30" t="str">
        <f t="shared" si="3"/>
        <v>Kế hoạch – kho</v>
      </c>
      <c r="M28" s="30">
        <f t="shared" si="4"/>
        <v>1</v>
      </c>
    </row>
    <row r="29" spans="1:13" x14ac:dyDescent="0.2">
      <c r="A29" s="25">
        <v>46287</v>
      </c>
      <c r="B29" s="17" t="s">
        <v>73</v>
      </c>
      <c r="C29" s="13" t="s">
        <v>90</v>
      </c>
      <c r="D29" s="15">
        <v>0.67708333333333337</v>
      </c>
      <c r="E29" s="15">
        <v>0.68402777777777779</v>
      </c>
      <c r="F29" s="17" t="s">
        <v>101</v>
      </c>
      <c r="G29" s="17" t="s">
        <v>116</v>
      </c>
      <c r="H29" s="18"/>
      <c r="I29" s="30">
        <f t="shared" si="0"/>
        <v>10</v>
      </c>
      <c r="J29" s="38" t="str">
        <f t="shared" si="1"/>
        <v>Chờ vật tư, phôi</v>
      </c>
      <c r="K29" s="30" t="str">
        <f t="shared" si="2"/>
        <v>Ngoài kế hoạch</v>
      </c>
      <c r="L29" s="30" t="str">
        <f t="shared" si="3"/>
        <v>Kế hoạch – kho</v>
      </c>
      <c r="M29" s="30">
        <f t="shared" si="4"/>
        <v>1</v>
      </c>
    </row>
    <row r="30" spans="1:13" x14ac:dyDescent="0.2">
      <c r="A30" s="25">
        <v>46287</v>
      </c>
      <c r="B30" s="17" t="s">
        <v>73</v>
      </c>
      <c r="C30" s="13" t="s">
        <v>90</v>
      </c>
      <c r="D30" s="15">
        <v>0.73611111111111116</v>
      </c>
      <c r="E30" s="15">
        <v>0.76736111111111116</v>
      </c>
      <c r="F30" s="17" t="s">
        <v>109</v>
      </c>
      <c r="G30" s="17" t="s">
        <v>116</v>
      </c>
      <c r="H30" s="18"/>
      <c r="I30" s="30">
        <f t="shared" si="0"/>
        <v>45</v>
      </c>
      <c r="J30" s="38" t="str">
        <f t="shared" si="1"/>
        <v>Chờ QC kiểm tra</v>
      </c>
      <c r="K30" s="30" t="str">
        <f t="shared" si="2"/>
        <v>Ngoài kế hoạch</v>
      </c>
      <c r="L30" s="30" t="str">
        <f t="shared" si="3"/>
        <v>QC</v>
      </c>
      <c r="M30" s="30">
        <f t="shared" si="4"/>
        <v>1</v>
      </c>
    </row>
    <row r="31" spans="1:13" x14ac:dyDescent="0.2">
      <c r="A31" s="25">
        <v>46288</v>
      </c>
      <c r="B31" s="17" t="s">
        <v>63</v>
      </c>
      <c r="C31" s="13" t="s">
        <v>61</v>
      </c>
      <c r="D31" s="15">
        <v>0.3347222222222222</v>
      </c>
      <c r="E31" s="15">
        <v>0.35208333333333341</v>
      </c>
      <c r="F31" s="17" t="s">
        <v>94</v>
      </c>
      <c r="G31" s="17" t="s">
        <v>70</v>
      </c>
      <c r="H31" s="18"/>
      <c r="I31" s="30">
        <f t="shared" si="0"/>
        <v>25</v>
      </c>
      <c r="J31" s="38" t="str">
        <f t="shared" si="1"/>
        <v>Chỉnh máy, chạy mẫu đầu</v>
      </c>
      <c r="K31" s="30" t="str">
        <f t="shared" si="2"/>
        <v>Ngoài kế hoạch</v>
      </c>
      <c r="L31" s="30" t="str">
        <f t="shared" si="3"/>
        <v>Sản xuất</v>
      </c>
      <c r="M31" s="30">
        <f t="shared" si="4"/>
        <v>1</v>
      </c>
    </row>
    <row r="32" spans="1:13" x14ac:dyDescent="0.2">
      <c r="A32" s="25">
        <v>46288</v>
      </c>
      <c r="B32" s="17" t="s">
        <v>63</v>
      </c>
      <c r="C32" s="13" t="s">
        <v>61</v>
      </c>
      <c r="D32" s="15">
        <v>0.39861111111111108</v>
      </c>
      <c r="E32" s="15">
        <v>0.40416666666666667</v>
      </c>
      <c r="F32" s="17" t="s">
        <v>76</v>
      </c>
      <c r="G32" s="17" t="s">
        <v>70</v>
      </c>
      <c r="H32" s="18"/>
      <c r="I32" s="30">
        <f t="shared" si="0"/>
        <v>8</v>
      </c>
      <c r="J32" s="38" t="str">
        <f t="shared" si="1"/>
        <v>Hỏng máy — điện, điều khiển</v>
      </c>
      <c r="K32" s="30" t="str">
        <f t="shared" si="2"/>
        <v>Ngoài kế hoạch</v>
      </c>
      <c r="L32" s="30" t="str">
        <f t="shared" si="3"/>
        <v>Bảo trì</v>
      </c>
      <c r="M32" s="30">
        <f t="shared" si="4"/>
        <v>0</v>
      </c>
    </row>
    <row r="33" spans="1:13" x14ac:dyDescent="0.2">
      <c r="A33" s="25">
        <v>46288</v>
      </c>
      <c r="B33" s="17" t="s">
        <v>63</v>
      </c>
      <c r="C33" s="13" t="s">
        <v>72</v>
      </c>
      <c r="D33" s="15">
        <v>0.31944444444444442</v>
      </c>
      <c r="E33" s="15">
        <v>0.33680555555555558</v>
      </c>
      <c r="F33" s="17" t="s">
        <v>109</v>
      </c>
      <c r="G33" s="17" t="s">
        <v>78</v>
      </c>
      <c r="H33" s="18"/>
      <c r="I33" s="30">
        <f t="shared" si="0"/>
        <v>25</v>
      </c>
      <c r="J33" s="38" t="str">
        <f t="shared" si="1"/>
        <v>Chờ QC kiểm tra</v>
      </c>
      <c r="K33" s="30" t="str">
        <f t="shared" si="2"/>
        <v>Ngoài kế hoạch</v>
      </c>
      <c r="L33" s="30" t="str">
        <f t="shared" si="3"/>
        <v>QC</v>
      </c>
      <c r="M33" s="30">
        <f t="shared" si="4"/>
        <v>1</v>
      </c>
    </row>
    <row r="34" spans="1:13" x14ac:dyDescent="0.2">
      <c r="A34" s="25">
        <v>46288</v>
      </c>
      <c r="B34" s="17" t="s">
        <v>63</v>
      </c>
      <c r="C34" s="13" t="s">
        <v>72</v>
      </c>
      <c r="D34" s="15">
        <v>0.37847222222222221</v>
      </c>
      <c r="E34" s="15">
        <v>0.39583333333333331</v>
      </c>
      <c r="F34" s="17" t="s">
        <v>94</v>
      </c>
      <c r="G34" s="17" t="s">
        <v>78</v>
      </c>
      <c r="H34" s="18"/>
      <c r="I34" s="30">
        <f t="shared" si="0"/>
        <v>25</v>
      </c>
      <c r="J34" s="38" t="str">
        <f t="shared" si="1"/>
        <v>Chỉnh máy, chạy mẫu đầu</v>
      </c>
      <c r="K34" s="30" t="str">
        <f t="shared" si="2"/>
        <v>Ngoài kế hoạch</v>
      </c>
      <c r="L34" s="30" t="str">
        <f t="shared" si="3"/>
        <v>Sản xuất</v>
      </c>
      <c r="M34" s="30">
        <f t="shared" si="4"/>
        <v>1</v>
      </c>
    </row>
    <row r="35" spans="1:13" x14ac:dyDescent="0.2">
      <c r="A35" s="25">
        <v>46288</v>
      </c>
      <c r="B35" s="17" t="s">
        <v>63</v>
      </c>
      <c r="C35" s="13" t="s">
        <v>81</v>
      </c>
      <c r="D35" s="15">
        <v>0.29166666666666669</v>
      </c>
      <c r="E35" s="15">
        <v>0.33333333333333331</v>
      </c>
      <c r="F35" s="17" t="s">
        <v>119</v>
      </c>
      <c r="G35" s="17" t="s">
        <v>88</v>
      </c>
      <c r="H35" s="18"/>
      <c r="I35" s="30">
        <f t="shared" si="0"/>
        <v>60</v>
      </c>
      <c r="J35" s="38" t="str">
        <f t="shared" si="1"/>
        <v>Bảo trì định kỳ</v>
      </c>
      <c r="K35" s="30" t="str">
        <f t="shared" si="2"/>
        <v>Có kế hoạch</v>
      </c>
      <c r="L35" s="30" t="str">
        <f t="shared" si="3"/>
        <v>Bảo trì</v>
      </c>
      <c r="M35" s="30">
        <f t="shared" si="4"/>
        <v>1</v>
      </c>
    </row>
    <row r="36" spans="1:13" x14ac:dyDescent="0.2">
      <c r="A36" s="25">
        <v>46288</v>
      </c>
      <c r="B36" s="17" t="s">
        <v>63</v>
      </c>
      <c r="C36" s="13" t="s">
        <v>81</v>
      </c>
      <c r="D36" s="15">
        <v>0.40277777777777779</v>
      </c>
      <c r="E36" s="15">
        <v>0.41666666666666669</v>
      </c>
      <c r="F36" s="17" t="s">
        <v>76</v>
      </c>
      <c r="G36" s="17" t="s">
        <v>88</v>
      </c>
      <c r="H36" s="18"/>
      <c r="I36" s="30">
        <f t="shared" si="0"/>
        <v>20</v>
      </c>
      <c r="J36" s="38" t="str">
        <f t="shared" si="1"/>
        <v>Hỏng máy — điện, điều khiển</v>
      </c>
      <c r="K36" s="30" t="str">
        <f t="shared" si="2"/>
        <v>Ngoài kế hoạch</v>
      </c>
      <c r="L36" s="30" t="str">
        <f t="shared" si="3"/>
        <v>Bảo trì</v>
      </c>
      <c r="M36" s="30">
        <f t="shared" si="4"/>
        <v>1</v>
      </c>
    </row>
    <row r="37" spans="1:13" x14ac:dyDescent="0.2">
      <c r="A37" s="25">
        <v>46288</v>
      </c>
      <c r="B37" s="17" t="s">
        <v>63</v>
      </c>
      <c r="C37" s="13" t="s">
        <v>90</v>
      </c>
      <c r="D37" s="15">
        <v>0.30555555555555558</v>
      </c>
      <c r="E37" s="15">
        <v>0.31944444444444442</v>
      </c>
      <c r="F37" s="17" t="s">
        <v>76</v>
      </c>
      <c r="G37" s="17" t="s">
        <v>96</v>
      </c>
      <c r="H37" s="18"/>
      <c r="I37" s="30">
        <f t="shared" si="0"/>
        <v>20</v>
      </c>
      <c r="J37" s="38" t="str">
        <f t="shared" si="1"/>
        <v>Hỏng máy — điện, điều khiển</v>
      </c>
      <c r="K37" s="30" t="str">
        <f t="shared" si="2"/>
        <v>Ngoài kế hoạch</v>
      </c>
      <c r="L37" s="30" t="str">
        <f t="shared" si="3"/>
        <v>Bảo trì</v>
      </c>
      <c r="M37" s="30">
        <f t="shared" si="4"/>
        <v>1</v>
      </c>
    </row>
    <row r="38" spans="1:13" x14ac:dyDescent="0.2">
      <c r="A38" s="25">
        <v>46288</v>
      </c>
      <c r="B38" s="17" t="s">
        <v>73</v>
      </c>
      <c r="C38" s="13" t="s">
        <v>61</v>
      </c>
      <c r="D38" s="15">
        <v>0.6875</v>
      </c>
      <c r="E38" s="15">
        <v>0.69791666666666663</v>
      </c>
      <c r="F38" s="17" t="s">
        <v>114</v>
      </c>
      <c r="G38" s="17" t="s">
        <v>103</v>
      </c>
      <c r="H38" s="18"/>
      <c r="I38" s="30">
        <f t="shared" si="0"/>
        <v>15</v>
      </c>
      <c r="J38" s="38" t="str">
        <f t="shared" si="1"/>
        <v>Dừng khác</v>
      </c>
      <c r="K38" s="30" t="str">
        <f t="shared" si="2"/>
        <v>Ngoài kế hoạch</v>
      </c>
      <c r="L38" s="30" t="str">
        <f t="shared" si="3"/>
        <v>Sản xuất</v>
      </c>
      <c r="M38" s="30">
        <f t="shared" si="4"/>
        <v>1</v>
      </c>
    </row>
    <row r="39" spans="1:13" x14ac:dyDescent="0.2">
      <c r="A39" s="25">
        <v>46288</v>
      </c>
      <c r="B39" s="17" t="s">
        <v>73</v>
      </c>
      <c r="C39" s="13" t="s">
        <v>61</v>
      </c>
      <c r="D39" s="15">
        <v>0.73958333333333337</v>
      </c>
      <c r="E39" s="15">
        <v>0.74791666666666667</v>
      </c>
      <c r="F39" s="17" t="s">
        <v>101</v>
      </c>
      <c r="G39" s="17" t="s">
        <v>103</v>
      </c>
      <c r="H39" s="18"/>
      <c r="I39" s="30">
        <f t="shared" si="0"/>
        <v>12</v>
      </c>
      <c r="J39" s="38" t="str">
        <f t="shared" si="1"/>
        <v>Chờ vật tư, phôi</v>
      </c>
      <c r="K39" s="30" t="str">
        <f t="shared" si="2"/>
        <v>Ngoài kế hoạch</v>
      </c>
      <c r="L39" s="30" t="str">
        <f t="shared" si="3"/>
        <v>Kế hoạch – kho</v>
      </c>
      <c r="M39" s="30">
        <f t="shared" si="4"/>
        <v>0</v>
      </c>
    </row>
    <row r="40" spans="1:13" x14ac:dyDescent="0.2">
      <c r="A40" s="25">
        <v>46288</v>
      </c>
      <c r="B40" s="17" t="s">
        <v>73</v>
      </c>
      <c r="C40" s="13" t="s">
        <v>72</v>
      </c>
      <c r="D40" s="15">
        <v>0.6875</v>
      </c>
      <c r="E40" s="15">
        <v>0.69444444444444442</v>
      </c>
      <c r="F40" s="17" t="s">
        <v>66</v>
      </c>
      <c r="G40" s="17" t="s">
        <v>78</v>
      </c>
      <c r="H40" s="18"/>
      <c r="I40" s="30">
        <f t="shared" si="0"/>
        <v>10</v>
      </c>
      <c r="J40" s="38" t="str">
        <f t="shared" si="1"/>
        <v>Hỏng máy — cơ khí</v>
      </c>
      <c r="K40" s="30" t="str">
        <f t="shared" si="2"/>
        <v>Ngoài kế hoạch</v>
      </c>
      <c r="L40" s="30" t="str">
        <f t="shared" si="3"/>
        <v>Bảo trì</v>
      </c>
      <c r="M40" s="30">
        <f t="shared" si="4"/>
        <v>1</v>
      </c>
    </row>
    <row r="41" spans="1:13" x14ac:dyDescent="0.2">
      <c r="A41" s="25">
        <v>46288</v>
      </c>
      <c r="B41" s="17" t="s">
        <v>73</v>
      </c>
      <c r="C41" s="13" t="s">
        <v>72</v>
      </c>
      <c r="D41" s="15">
        <v>0.73819444444444449</v>
      </c>
      <c r="E41" s="15">
        <v>0.76249999999999996</v>
      </c>
      <c r="F41" s="17" t="s">
        <v>101</v>
      </c>
      <c r="G41" s="17" t="s">
        <v>78</v>
      </c>
      <c r="H41" s="18"/>
      <c r="I41" s="30">
        <f t="shared" si="0"/>
        <v>35</v>
      </c>
      <c r="J41" s="38" t="str">
        <f t="shared" si="1"/>
        <v>Chờ vật tư, phôi</v>
      </c>
      <c r="K41" s="30" t="str">
        <f t="shared" si="2"/>
        <v>Ngoài kế hoạch</v>
      </c>
      <c r="L41" s="30" t="str">
        <f t="shared" si="3"/>
        <v>Kế hoạch – kho</v>
      </c>
      <c r="M41" s="30">
        <f t="shared" si="4"/>
        <v>1</v>
      </c>
    </row>
    <row r="42" spans="1:13" x14ac:dyDescent="0.2">
      <c r="A42" s="25">
        <v>46288</v>
      </c>
      <c r="B42" s="17" t="s">
        <v>73</v>
      </c>
      <c r="C42" s="13" t="s">
        <v>81</v>
      </c>
      <c r="D42" s="15">
        <v>0.65277777777777779</v>
      </c>
      <c r="E42" s="15">
        <v>0.68055555555555558</v>
      </c>
      <c r="F42" s="17" t="s">
        <v>105</v>
      </c>
      <c r="G42" s="17" t="s">
        <v>111</v>
      </c>
      <c r="H42" s="18"/>
      <c r="I42" s="30">
        <f t="shared" si="0"/>
        <v>40</v>
      </c>
      <c r="J42" s="38" t="str">
        <f t="shared" si="1"/>
        <v>Chờ người, thiếu người</v>
      </c>
      <c r="K42" s="30" t="str">
        <f t="shared" si="2"/>
        <v>Ngoài kế hoạch</v>
      </c>
      <c r="L42" s="30" t="str">
        <f t="shared" si="3"/>
        <v>Sản xuất</v>
      </c>
      <c r="M42" s="30">
        <f t="shared" si="4"/>
        <v>1</v>
      </c>
    </row>
    <row r="43" spans="1:13" x14ac:dyDescent="0.2">
      <c r="A43" s="25">
        <v>46288</v>
      </c>
      <c r="B43" s="17" t="s">
        <v>73</v>
      </c>
      <c r="C43" s="13" t="s">
        <v>81</v>
      </c>
      <c r="D43" s="15">
        <v>0.70833333333333337</v>
      </c>
      <c r="E43" s="15">
        <v>0.72916666666666663</v>
      </c>
      <c r="F43" s="17" t="s">
        <v>101</v>
      </c>
      <c r="G43" s="17" t="s">
        <v>111</v>
      </c>
      <c r="H43" s="18"/>
      <c r="I43" s="30">
        <f t="shared" si="0"/>
        <v>30</v>
      </c>
      <c r="J43" s="38" t="str">
        <f t="shared" si="1"/>
        <v>Chờ vật tư, phôi</v>
      </c>
      <c r="K43" s="30" t="str">
        <f t="shared" si="2"/>
        <v>Ngoài kế hoạch</v>
      </c>
      <c r="L43" s="30" t="str">
        <f t="shared" si="3"/>
        <v>Kế hoạch – kho</v>
      </c>
      <c r="M43" s="30">
        <f t="shared" si="4"/>
        <v>1</v>
      </c>
    </row>
    <row r="44" spans="1:13" x14ac:dyDescent="0.2">
      <c r="A44" s="25">
        <v>46288</v>
      </c>
      <c r="B44" s="17" t="s">
        <v>73</v>
      </c>
      <c r="C44" s="13" t="s">
        <v>81</v>
      </c>
      <c r="D44" s="15">
        <v>0.78125</v>
      </c>
      <c r="E44" s="15">
        <v>0.78819444444444442</v>
      </c>
      <c r="F44" s="17" t="s">
        <v>109</v>
      </c>
      <c r="G44" s="17" t="s">
        <v>111</v>
      </c>
      <c r="H44" s="18"/>
      <c r="I44" s="30">
        <f t="shared" si="0"/>
        <v>10</v>
      </c>
      <c r="J44" s="38" t="str">
        <f t="shared" si="1"/>
        <v>Chờ QC kiểm tra</v>
      </c>
      <c r="K44" s="30" t="str">
        <f t="shared" si="2"/>
        <v>Ngoài kế hoạch</v>
      </c>
      <c r="L44" s="30" t="str">
        <f t="shared" si="3"/>
        <v>QC</v>
      </c>
      <c r="M44" s="30">
        <f t="shared" si="4"/>
        <v>1</v>
      </c>
    </row>
    <row r="45" spans="1:13" x14ac:dyDescent="0.2">
      <c r="A45" s="25">
        <v>46288</v>
      </c>
      <c r="B45" s="17" t="s">
        <v>73</v>
      </c>
      <c r="C45" s="13" t="s">
        <v>90</v>
      </c>
      <c r="D45" s="15">
        <v>0.67708333333333337</v>
      </c>
      <c r="E45" s="15">
        <v>0.7</v>
      </c>
      <c r="F45" s="17" t="s">
        <v>76</v>
      </c>
      <c r="G45" s="17" t="s">
        <v>116</v>
      </c>
      <c r="H45" s="18"/>
      <c r="I45" s="30">
        <f t="shared" si="0"/>
        <v>33</v>
      </c>
      <c r="J45" s="38" t="str">
        <f t="shared" si="1"/>
        <v>Hỏng máy — điện, điều khiển</v>
      </c>
      <c r="K45" s="30" t="str">
        <f t="shared" si="2"/>
        <v>Ngoài kế hoạch</v>
      </c>
      <c r="L45" s="30" t="str">
        <f t="shared" si="3"/>
        <v>Bảo trì</v>
      </c>
      <c r="M45" s="30">
        <f t="shared" si="4"/>
        <v>0</v>
      </c>
    </row>
    <row r="46" spans="1:13" x14ac:dyDescent="0.2">
      <c r="A46" s="25">
        <v>46288</v>
      </c>
      <c r="B46" s="17" t="s">
        <v>73</v>
      </c>
      <c r="C46" s="13" t="s">
        <v>90</v>
      </c>
      <c r="D46" s="15">
        <v>0.75</v>
      </c>
      <c r="E46" s="15">
        <v>0.77777777777777779</v>
      </c>
      <c r="F46" s="17" t="s">
        <v>94</v>
      </c>
      <c r="G46" s="17" t="s">
        <v>116</v>
      </c>
      <c r="H46" s="18"/>
      <c r="I46" s="30">
        <f t="shared" si="0"/>
        <v>40</v>
      </c>
      <c r="J46" s="38" t="str">
        <f t="shared" si="1"/>
        <v>Chỉnh máy, chạy mẫu đầu</v>
      </c>
      <c r="K46" s="30" t="str">
        <f t="shared" si="2"/>
        <v>Ngoài kế hoạch</v>
      </c>
      <c r="L46" s="30" t="str">
        <f t="shared" si="3"/>
        <v>Sản xuất</v>
      </c>
      <c r="M46" s="30">
        <f t="shared" si="4"/>
        <v>1</v>
      </c>
    </row>
    <row r="47" spans="1:13" x14ac:dyDescent="0.2">
      <c r="A47" s="25">
        <v>46288</v>
      </c>
      <c r="B47" s="17" t="s">
        <v>73</v>
      </c>
      <c r="C47" s="13" t="s">
        <v>90</v>
      </c>
      <c r="D47" s="15">
        <v>0.84027777777777779</v>
      </c>
      <c r="E47" s="15">
        <v>0.86319444444444449</v>
      </c>
      <c r="F47" s="17" t="s">
        <v>101</v>
      </c>
      <c r="G47" s="17" t="s">
        <v>116</v>
      </c>
      <c r="H47" s="18"/>
      <c r="I47" s="30">
        <f t="shared" si="0"/>
        <v>33</v>
      </c>
      <c r="J47" s="38" t="str">
        <f t="shared" si="1"/>
        <v>Chờ vật tư, phôi</v>
      </c>
      <c r="K47" s="30" t="str">
        <f t="shared" si="2"/>
        <v>Ngoài kế hoạch</v>
      </c>
      <c r="L47" s="30" t="str">
        <f t="shared" si="3"/>
        <v>Kế hoạch – kho</v>
      </c>
      <c r="M47" s="30">
        <f t="shared" si="4"/>
        <v>0</v>
      </c>
    </row>
    <row r="48" spans="1:13" x14ac:dyDescent="0.2">
      <c r="A48" s="25">
        <v>46289</v>
      </c>
      <c r="B48" s="17" t="s">
        <v>63</v>
      </c>
      <c r="C48" s="13" t="s">
        <v>61</v>
      </c>
      <c r="D48" s="15">
        <v>0.31944444444444442</v>
      </c>
      <c r="E48" s="15">
        <v>0.35069444444444442</v>
      </c>
      <c r="F48" s="17" t="s">
        <v>66</v>
      </c>
      <c r="G48" s="17" t="s">
        <v>70</v>
      </c>
      <c r="H48" s="18"/>
      <c r="I48" s="30">
        <f t="shared" si="0"/>
        <v>45</v>
      </c>
      <c r="J48" s="38" t="str">
        <f t="shared" si="1"/>
        <v>Hỏng máy — cơ khí</v>
      </c>
      <c r="K48" s="30" t="str">
        <f t="shared" si="2"/>
        <v>Ngoài kế hoạch</v>
      </c>
      <c r="L48" s="30" t="str">
        <f t="shared" si="3"/>
        <v>Bảo trì</v>
      </c>
      <c r="M48" s="30">
        <f t="shared" si="4"/>
        <v>1</v>
      </c>
    </row>
    <row r="49" spans="1:13" x14ac:dyDescent="0.2">
      <c r="A49" s="25">
        <v>46289</v>
      </c>
      <c r="B49" s="17" t="s">
        <v>63</v>
      </c>
      <c r="C49" s="13" t="s">
        <v>61</v>
      </c>
      <c r="D49" s="15">
        <v>0.37847222222222221</v>
      </c>
      <c r="E49" s="15">
        <v>0.40625</v>
      </c>
      <c r="F49" s="17" t="s">
        <v>94</v>
      </c>
      <c r="G49" s="17" t="s">
        <v>70</v>
      </c>
      <c r="H49" s="18"/>
      <c r="I49" s="30">
        <f t="shared" si="0"/>
        <v>40</v>
      </c>
      <c r="J49" s="38" t="str">
        <f t="shared" si="1"/>
        <v>Chỉnh máy, chạy mẫu đầu</v>
      </c>
      <c r="K49" s="30" t="str">
        <f t="shared" si="2"/>
        <v>Ngoài kế hoạch</v>
      </c>
      <c r="L49" s="30" t="str">
        <f t="shared" si="3"/>
        <v>Sản xuất</v>
      </c>
      <c r="M49" s="30">
        <f t="shared" si="4"/>
        <v>1</v>
      </c>
    </row>
    <row r="50" spans="1:13" x14ac:dyDescent="0.2">
      <c r="A50" s="25">
        <v>46289</v>
      </c>
      <c r="B50" s="17" t="s">
        <v>63</v>
      </c>
      <c r="C50" s="13" t="s">
        <v>72</v>
      </c>
      <c r="D50" s="15">
        <v>0.30555555555555558</v>
      </c>
      <c r="E50" s="15">
        <v>0.33333333333333331</v>
      </c>
      <c r="F50" s="17" t="s">
        <v>101</v>
      </c>
      <c r="G50" s="17" t="s">
        <v>78</v>
      </c>
      <c r="H50" s="18"/>
      <c r="I50" s="30">
        <f t="shared" si="0"/>
        <v>40</v>
      </c>
      <c r="J50" s="38" t="str">
        <f t="shared" si="1"/>
        <v>Chờ vật tư, phôi</v>
      </c>
      <c r="K50" s="30" t="str">
        <f t="shared" si="2"/>
        <v>Ngoài kế hoạch</v>
      </c>
      <c r="L50" s="30" t="str">
        <f t="shared" si="3"/>
        <v>Kế hoạch – kho</v>
      </c>
      <c r="M50" s="30">
        <f t="shared" si="4"/>
        <v>1</v>
      </c>
    </row>
    <row r="51" spans="1:13" x14ac:dyDescent="0.2">
      <c r="A51" s="25">
        <v>46289</v>
      </c>
      <c r="B51" s="17" t="s">
        <v>63</v>
      </c>
      <c r="C51" s="13" t="s">
        <v>72</v>
      </c>
      <c r="D51" s="15">
        <v>0.375</v>
      </c>
      <c r="E51" s="15">
        <v>0.40625</v>
      </c>
      <c r="F51" s="17" t="s">
        <v>105</v>
      </c>
      <c r="G51" s="17" t="s">
        <v>78</v>
      </c>
      <c r="H51" s="18"/>
      <c r="I51" s="30">
        <f t="shared" si="0"/>
        <v>45</v>
      </c>
      <c r="J51" s="38" t="str">
        <f t="shared" si="1"/>
        <v>Chờ người, thiếu người</v>
      </c>
      <c r="K51" s="30" t="str">
        <f t="shared" si="2"/>
        <v>Ngoài kế hoạch</v>
      </c>
      <c r="L51" s="30" t="str">
        <f t="shared" si="3"/>
        <v>Sản xuất</v>
      </c>
      <c r="M51" s="30">
        <f t="shared" si="4"/>
        <v>1</v>
      </c>
    </row>
    <row r="52" spans="1:13" x14ac:dyDescent="0.2">
      <c r="A52" s="25">
        <v>46289</v>
      </c>
      <c r="B52" s="17" t="s">
        <v>63</v>
      </c>
      <c r="C52" s="13" t="s">
        <v>81</v>
      </c>
      <c r="D52" s="15">
        <v>0.33333333333333331</v>
      </c>
      <c r="E52" s="15">
        <v>0.36458333333333331</v>
      </c>
      <c r="F52" s="17" t="s">
        <v>101</v>
      </c>
      <c r="G52" s="17" t="s">
        <v>88</v>
      </c>
      <c r="H52" s="18"/>
      <c r="I52" s="30">
        <f t="shared" si="0"/>
        <v>45</v>
      </c>
      <c r="J52" s="38" t="str">
        <f t="shared" si="1"/>
        <v>Chờ vật tư, phôi</v>
      </c>
      <c r="K52" s="30" t="str">
        <f t="shared" si="2"/>
        <v>Ngoài kế hoạch</v>
      </c>
      <c r="L52" s="30" t="str">
        <f t="shared" si="3"/>
        <v>Kế hoạch – kho</v>
      </c>
      <c r="M52" s="30">
        <f t="shared" si="4"/>
        <v>1</v>
      </c>
    </row>
    <row r="53" spans="1:13" x14ac:dyDescent="0.2">
      <c r="A53" s="25">
        <v>46289</v>
      </c>
      <c r="B53" s="17" t="s">
        <v>63</v>
      </c>
      <c r="C53" s="13" t="s">
        <v>90</v>
      </c>
      <c r="D53" s="15">
        <v>0.26041666666666669</v>
      </c>
      <c r="E53" s="15">
        <v>0.29166666666666669</v>
      </c>
      <c r="F53" s="17" t="s">
        <v>85</v>
      </c>
      <c r="G53" s="17" t="s">
        <v>96</v>
      </c>
      <c r="H53" s="18"/>
      <c r="I53" s="30">
        <f t="shared" si="0"/>
        <v>45</v>
      </c>
      <c r="J53" s="38" t="str">
        <f t="shared" si="1"/>
        <v>Đổi mã hàng, thay khuôn, gá</v>
      </c>
      <c r="K53" s="30" t="str">
        <f t="shared" si="2"/>
        <v>Ngoài kế hoạch</v>
      </c>
      <c r="L53" s="30" t="str">
        <f t="shared" si="3"/>
        <v>Sản xuất</v>
      </c>
      <c r="M53" s="30">
        <f t="shared" si="4"/>
        <v>1</v>
      </c>
    </row>
    <row r="54" spans="1:13" x14ac:dyDescent="0.2">
      <c r="A54" s="25">
        <v>46289</v>
      </c>
      <c r="B54" s="17" t="s">
        <v>63</v>
      </c>
      <c r="C54" s="13" t="s">
        <v>90</v>
      </c>
      <c r="D54" s="15">
        <v>0.30555555555555558</v>
      </c>
      <c r="E54" s="15">
        <v>0.31944444444444442</v>
      </c>
      <c r="F54" s="17" t="s">
        <v>109</v>
      </c>
      <c r="G54" s="17" t="s">
        <v>96</v>
      </c>
      <c r="H54" s="18"/>
      <c r="I54" s="30">
        <f t="shared" si="0"/>
        <v>20</v>
      </c>
      <c r="J54" s="38" t="str">
        <f t="shared" si="1"/>
        <v>Chờ QC kiểm tra</v>
      </c>
      <c r="K54" s="30" t="str">
        <f t="shared" si="2"/>
        <v>Ngoài kế hoạch</v>
      </c>
      <c r="L54" s="30" t="str">
        <f t="shared" si="3"/>
        <v>QC</v>
      </c>
      <c r="M54" s="30">
        <f t="shared" si="4"/>
        <v>1</v>
      </c>
    </row>
    <row r="55" spans="1:13" x14ac:dyDescent="0.2">
      <c r="A55" s="25">
        <v>46289</v>
      </c>
      <c r="B55" s="17" t="s">
        <v>63</v>
      </c>
      <c r="C55" s="13" t="s">
        <v>90</v>
      </c>
      <c r="D55" s="15">
        <v>0.38194444444444442</v>
      </c>
      <c r="E55" s="15">
        <v>0.3923611111111111</v>
      </c>
      <c r="F55" s="17" t="s">
        <v>105</v>
      </c>
      <c r="G55" s="17" t="s">
        <v>96</v>
      </c>
      <c r="H55" s="18"/>
      <c r="I55" s="30">
        <f t="shared" si="0"/>
        <v>15</v>
      </c>
      <c r="J55" s="38" t="str">
        <f t="shared" si="1"/>
        <v>Chờ người, thiếu người</v>
      </c>
      <c r="K55" s="30" t="str">
        <f t="shared" si="2"/>
        <v>Ngoài kế hoạch</v>
      </c>
      <c r="L55" s="30" t="str">
        <f t="shared" si="3"/>
        <v>Sản xuất</v>
      </c>
      <c r="M55" s="30">
        <f t="shared" si="4"/>
        <v>1</v>
      </c>
    </row>
    <row r="56" spans="1:13" x14ac:dyDescent="0.2">
      <c r="A56" s="25">
        <v>46289</v>
      </c>
      <c r="B56" s="17" t="s">
        <v>73</v>
      </c>
      <c r="C56" s="13" t="s">
        <v>61</v>
      </c>
      <c r="D56" s="15">
        <v>0.67708333333333337</v>
      </c>
      <c r="E56" s="15">
        <v>0.69444444444444442</v>
      </c>
      <c r="F56" s="17" t="s">
        <v>94</v>
      </c>
      <c r="G56" s="17" t="s">
        <v>103</v>
      </c>
      <c r="H56" s="18"/>
      <c r="I56" s="30">
        <f t="shared" si="0"/>
        <v>25</v>
      </c>
      <c r="J56" s="38" t="str">
        <f t="shared" si="1"/>
        <v>Chỉnh máy, chạy mẫu đầu</v>
      </c>
      <c r="K56" s="30" t="str">
        <f t="shared" si="2"/>
        <v>Ngoài kế hoạch</v>
      </c>
      <c r="L56" s="30" t="str">
        <f t="shared" si="3"/>
        <v>Sản xuất</v>
      </c>
      <c r="M56" s="30">
        <f t="shared" si="4"/>
        <v>1</v>
      </c>
    </row>
    <row r="57" spans="1:13" x14ac:dyDescent="0.2">
      <c r="A57" s="25">
        <v>46289</v>
      </c>
      <c r="B57" s="17" t="s">
        <v>73</v>
      </c>
      <c r="C57" s="13" t="s">
        <v>61</v>
      </c>
      <c r="D57" s="15">
        <v>0.74652777777777779</v>
      </c>
      <c r="E57" s="15">
        <v>0.77777777777777779</v>
      </c>
      <c r="F57" s="17" t="s">
        <v>66</v>
      </c>
      <c r="G57" s="17" t="s">
        <v>103</v>
      </c>
      <c r="H57" s="18"/>
      <c r="I57" s="30">
        <f t="shared" si="0"/>
        <v>45</v>
      </c>
      <c r="J57" s="38" t="str">
        <f t="shared" si="1"/>
        <v>Hỏng máy — cơ khí</v>
      </c>
      <c r="K57" s="30" t="str">
        <f t="shared" si="2"/>
        <v>Ngoài kế hoạch</v>
      </c>
      <c r="L57" s="30" t="str">
        <f t="shared" si="3"/>
        <v>Bảo trì</v>
      </c>
      <c r="M57" s="30">
        <f t="shared" si="4"/>
        <v>1</v>
      </c>
    </row>
    <row r="58" spans="1:13" x14ac:dyDescent="0.2">
      <c r="A58" s="25">
        <v>46289</v>
      </c>
      <c r="B58" s="17" t="s">
        <v>73</v>
      </c>
      <c r="C58" s="13" t="s">
        <v>61</v>
      </c>
      <c r="D58" s="15">
        <v>0.82986111111111116</v>
      </c>
      <c r="E58" s="15">
        <v>0.83680555555555558</v>
      </c>
      <c r="F58" s="17" t="s">
        <v>114</v>
      </c>
      <c r="G58" s="17" t="s">
        <v>103</v>
      </c>
      <c r="H58" s="18"/>
      <c r="I58" s="30">
        <f t="shared" si="0"/>
        <v>10</v>
      </c>
      <c r="J58" s="38" t="str">
        <f t="shared" si="1"/>
        <v>Dừng khác</v>
      </c>
      <c r="K58" s="30" t="str">
        <f t="shared" si="2"/>
        <v>Ngoài kế hoạch</v>
      </c>
      <c r="L58" s="30" t="str">
        <f t="shared" si="3"/>
        <v>Sản xuất</v>
      </c>
      <c r="M58" s="30">
        <f t="shared" si="4"/>
        <v>1</v>
      </c>
    </row>
    <row r="59" spans="1:13" x14ac:dyDescent="0.2">
      <c r="A59" s="25">
        <v>46289</v>
      </c>
      <c r="B59" s="17" t="s">
        <v>73</v>
      </c>
      <c r="C59" s="13" t="s">
        <v>72</v>
      </c>
      <c r="D59" s="15">
        <v>0.68194444444444446</v>
      </c>
      <c r="E59" s="15">
        <v>0.70625000000000004</v>
      </c>
      <c r="F59" s="17" t="s">
        <v>76</v>
      </c>
      <c r="G59" s="17" t="s">
        <v>107</v>
      </c>
      <c r="H59" s="18"/>
      <c r="I59" s="30">
        <f t="shared" si="0"/>
        <v>35</v>
      </c>
      <c r="J59" s="38" t="str">
        <f t="shared" si="1"/>
        <v>Hỏng máy — điện, điều khiển</v>
      </c>
      <c r="K59" s="30" t="str">
        <f t="shared" si="2"/>
        <v>Ngoài kế hoạch</v>
      </c>
      <c r="L59" s="30" t="str">
        <f t="shared" si="3"/>
        <v>Bảo trì</v>
      </c>
      <c r="M59" s="30">
        <f t="shared" si="4"/>
        <v>1</v>
      </c>
    </row>
    <row r="60" spans="1:13" x14ac:dyDescent="0.2">
      <c r="A60" s="25">
        <v>46289</v>
      </c>
      <c r="B60" s="17" t="s">
        <v>73</v>
      </c>
      <c r="C60" s="13" t="s">
        <v>81</v>
      </c>
      <c r="D60" s="15">
        <v>0.63888888888888884</v>
      </c>
      <c r="E60" s="15">
        <v>0.67013888888888884</v>
      </c>
      <c r="F60" s="17" t="s">
        <v>114</v>
      </c>
      <c r="G60" s="17" t="s">
        <v>111</v>
      </c>
      <c r="H60" s="18"/>
      <c r="I60" s="30">
        <f t="shared" si="0"/>
        <v>45</v>
      </c>
      <c r="J60" s="38" t="str">
        <f t="shared" si="1"/>
        <v>Dừng khác</v>
      </c>
      <c r="K60" s="30" t="str">
        <f t="shared" si="2"/>
        <v>Ngoài kế hoạch</v>
      </c>
      <c r="L60" s="30" t="str">
        <f t="shared" si="3"/>
        <v>Sản xuất</v>
      </c>
      <c r="M60" s="30">
        <f t="shared" si="4"/>
        <v>1</v>
      </c>
    </row>
    <row r="61" spans="1:13" x14ac:dyDescent="0.2">
      <c r="A61" s="25">
        <v>46289</v>
      </c>
      <c r="B61" s="17" t="s">
        <v>73</v>
      </c>
      <c r="C61" s="13" t="s">
        <v>90</v>
      </c>
      <c r="D61" s="15">
        <v>0.63888888888888884</v>
      </c>
      <c r="E61" s="15">
        <v>0.64444444444444449</v>
      </c>
      <c r="F61" s="17" t="s">
        <v>66</v>
      </c>
      <c r="G61" s="17" t="s">
        <v>116</v>
      </c>
      <c r="H61" s="18"/>
      <c r="I61" s="30">
        <f t="shared" si="0"/>
        <v>8</v>
      </c>
      <c r="J61" s="38" t="str">
        <f t="shared" si="1"/>
        <v>Hỏng máy — cơ khí</v>
      </c>
      <c r="K61" s="30" t="str">
        <f t="shared" si="2"/>
        <v>Ngoài kế hoạch</v>
      </c>
      <c r="L61" s="30" t="str">
        <f t="shared" si="3"/>
        <v>Bảo trì</v>
      </c>
      <c r="M61" s="30">
        <f t="shared" si="4"/>
        <v>0</v>
      </c>
    </row>
    <row r="62" spans="1:13" x14ac:dyDescent="0.2">
      <c r="A62" s="25">
        <v>46290</v>
      </c>
      <c r="B62" s="17" t="s">
        <v>63</v>
      </c>
      <c r="C62" s="13" t="s">
        <v>61</v>
      </c>
      <c r="D62" s="15">
        <v>0.31944444444444442</v>
      </c>
      <c r="E62" s="15">
        <v>0.32500000000000001</v>
      </c>
      <c r="F62" s="17" t="s">
        <v>76</v>
      </c>
      <c r="G62" s="17" t="s">
        <v>70</v>
      </c>
      <c r="H62" s="18"/>
      <c r="I62" s="30">
        <f t="shared" si="0"/>
        <v>8</v>
      </c>
      <c r="J62" s="38" t="str">
        <f t="shared" si="1"/>
        <v>Hỏng máy — điện, điều khiển</v>
      </c>
      <c r="K62" s="30" t="str">
        <f t="shared" si="2"/>
        <v>Ngoài kế hoạch</v>
      </c>
      <c r="L62" s="30" t="str">
        <f t="shared" si="3"/>
        <v>Bảo trì</v>
      </c>
      <c r="M62" s="30">
        <f t="shared" si="4"/>
        <v>0</v>
      </c>
    </row>
    <row r="63" spans="1:13" x14ac:dyDescent="0.2">
      <c r="A63" s="25">
        <v>46290</v>
      </c>
      <c r="B63" s="17" t="s">
        <v>63</v>
      </c>
      <c r="C63" s="13" t="s">
        <v>72</v>
      </c>
      <c r="D63" s="15">
        <v>0.30555555555555558</v>
      </c>
      <c r="E63" s="15">
        <v>0.32291666666666669</v>
      </c>
      <c r="F63" s="17" t="s">
        <v>109</v>
      </c>
      <c r="G63" s="17" t="s">
        <v>78</v>
      </c>
      <c r="H63" s="18"/>
      <c r="I63" s="30">
        <f t="shared" si="0"/>
        <v>25</v>
      </c>
      <c r="J63" s="38" t="str">
        <f t="shared" si="1"/>
        <v>Chờ QC kiểm tra</v>
      </c>
      <c r="K63" s="30" t="str">
        <f t="shared" si="2"/>
        <v>Ngoài kế hoạch</v>
      </c>
      <c r="L63" s="30" t="str">
        <f t="shared" si="3"/>
        <v>QC</v>
      </c>
      <c r="M63" s="30">
        <f t="shared" si="4"/>
        <v>1</v>
      </c>
    </row>
    <row r="64" spans="1:13" x14ac:dyDescent="0.2">
      <c r="A64" s="25">
        <v>46290</v>
      </c>
      <c r="B64" s="17" t="s">
        <v>63</v>
      </c>
      <c r="C64" s="13" t="s">
        <v>81</v>
      </c>
      <c r="D64" s="15">
        <v>0.35416666666666669</v>
      </c>
      <c r="E64" s="15">
        <v>0.39583333333333331</v>
      </c>
      <c r="F64" s="17" t="s">
        <v>101</v>
      </c>
      <c r="G64" s="17" t="s">
        <v>88</v>
      </c>
      <c r="H64" s="18"/>
      <c r="I64" s="30">
        <f t="shared" si="0"/>
        <v>60</v>
      </c>
      <c r="J64" s="38" t="str">
        <f t="shared" si="1"/>
        <v>Chờ vật tư, phôi</v>
      </c>
      <c r="K64" s="30" t="str">
        <f t="shared" si="2"/>
        <v>Ngoài kế hoạch</v>
      </c>
      <c r="L64" s="30" t="str">
        <f t="shared" si="3"/>
        <v>Kế hoạch – kho</v>
      </c>
      <c r="M64" s="30">
        <f t="shared" si="4"/>
        <v>1</v>
      </c>
    </row>
    <row r="65" spans="1:13" x14ac:dyDescent="0.2">
      <c r="A65" s="25">
        <v>46290</v>
      </c>
      <c r="B65" s="17" t="s">
        <v>73</v>
      </c>
      <c r="C65" s="13" t="s">
        <v>61</v>
      </c>
      <c r="D65" s="15">
        <v>0.66666666666666663</v>
      </c>
      <c r="E65" s="15">
        <v>0.6875</v>
      </c>
      <c r="F65" s="17" t="s">
        <v>76</v>
      </c>
      <c r="G65" s="17" t="s">
        <v>103</v>
      </c>
      <c r="H65" s="18"/>
      <c r="I65" s="30">
        <f t="shared" si="0"/>
        <v>30</v>
      </c>
      <c r="J65" s="38" t="str">
        <f t="shared" si="1"/>
        <v>Hỏng máy — điện, điều khiển</v>
      </c>
      <c r="K65" s="30" t="str">
        <f t="shared" si="2"/>
        <v>Ngoài kế hoạch</v>
      </c>
      <c r="L65" s="30" t="str">
        <f t="shared" si="3"/>
        <v>Bảo trì</v>
      </c>
      <c r="M65" s="30">
        <f t="shared" si="4"/>
        <v>1</v>
      </c>
    </row>
    <row r="66" spans="1:13" x14ac:dyDescent="0.2">
      <c r="A66" s="25">
        <v>46290</v>
      </c>
      <c r="B66" s="17" t="s">
        <v>73</v>
      </c>
      <c r="C66" s="13" t="s">
        <v>61</v>
      </c>
      <c r="D66" s="15">
        <v>0.75138888888888888</v>
      </c>
      <c r="E66" s="15">
        <v>0.78263888888888888</v>
      </c>
      <c r="F66" s="17" t="s">
        <v>94</v>
      </c>
      <c r="G66" s="17" t="s">
        <v>103</v>
      </c>
      <c r="H66" s="18"/>
      <c r="I66" s="30">
        <f t="shared" si="0"/>
        <v>45</v>
      </c>
      <c r="J66" s="38" t="str">
        <f t="shared" si="1"/>
        <v>Chỉnh máy, chạy mẫu đầu</v>
      </c>
      <c r="K66" s="30" t="str">
        <f t="shared" si="2"/>
        <v>Ngoài kế hoạch</v>
      </c>
      <c r="L66" s="30" t="str">
        <f t="shared" si="3"/>
        <v>Sản xuất</v>
      </c>
      <c r="M66" s="30">
        <f t="shared" si="4"/>
        <v>1</v>
      </c>
    </row>
    <row r="67" spans="1:13" x14ac:dyDescent="0.2">
      <c r="A67" s="25">
        <v>46290</v>
      </c>
      <c r="B67" s="17" t="s">
        <v>73</v>
      </c>
      <c r="C67" s="13" t="s">
        <v>72</v>
      </c>
      <c r="D67" s="15">
        <v>0.63888888888888884</v>
      </c>
      <c r="E67" s="15">
        <v>0.68055555555555558</v>
      </c>
      <c r="F67" s="17" t="s">
        <v>66</v>
      </c>
      <c r="G67" s="17" t="s">
        <v>107</v>
      </c>
      <c r="H67" s="18"/>
      <c r="I67" s="30">
        <f t="shared" si="0"/>
        <v>60</v>
      </c>
      <c r="J67" s="38" t="str">
        <f t="shared" si="1"/>
        <v>Hỏng máy — cơ khí</v>
      </c>
      <c r="K67" s="30" t="str">
        <f t="shared" si="2"/>
        <v>Ngoài kế hoạch</v>
      </c>
      <c r="L67" s="30" t="str">
        <f t="shared" si="3"/>
        <v>Bảo trì</v>
      </c>
      <c r="M67" s="30">
        <f t="shared" si="4"/>
        <v>1</v>
      </c>
    </row>
    <row r="68" spans="1:13" x14ac:dyDescent="0.2">
      <c r="A68" s="25">
        <v>46290</v>
      </c>
      <c r="B68" s="17" t="s">
        <v>73</v>
      </c>
      <c r="C68" s="13" t="s">
        <v>72</v>
      </c>
      <c r="D68" s="15">
        <v>0.83333333333333337</v>
      </c>
      <c r="E68" s="15">
        <v>0.91666666666666663</v>
      </c>
      <c r="F68" s="17" t="s">
        <v>123</v>
      </c>
      <c r="G68" s="17" t="s">
        <v>107</v>
      </c>
      <c r="H68" s="18"/>
      <c r="I68" s="30">
        <f t="shared" si="0"/>
        <v>120</v>
      </c>
      <c r="J68" s="38" t="str">
        <f t="shared" si="1"/>
        <v>Không có đơn hàng</v>
      </c>
      <c r="K68" s="30" t="str">
        <f t="shared" si="2"/>
        <v>Có kế hoạch</v>
      </c>
      <c r="L68" s="30" t="str">
        <f t="shared" si="3"/>
        <v>Kế hoạch – kho</v>
      </c>
      <c r="M68" s="30">
        <f t="shared" si="4"/>
        <v>1</v>
      </c>
    </row>
    <row r="69" spans="1:13" x14ac:dyDescent="0.2">
      <c r="A69" s="25">
        <v>46290</v>
      </c>
      <c r="B69" s="17" t="s">
        <v>73</v>
      </c>
      <c r="C69" s="13" t="s">
        <v>81</v>
      </c>
      <c r="D69" s="15">
        <v>0.67847222222222225</v>
      </c>
      <c r="E69" s="15">
        <v>0.70625000000000004</v>
      </c>
      <c r="F69" s="17" t="s">
        <v>94</v>
      </c>
      <c r="G69" s="17" t="s">
        <v>111</v>
      </c>
      <c r="H69" s="18"/>
      <c r="I69" s="30">
        <f t="shared" si="0"/>
        <v>40</v>
      </c>
      <c r="J69" s="38" t="str">
        <f t="shared" si="1"/>
        <v>Chỉnh máy, chạy mẫu đầu</v>
      </c>
      <c r="K69" s="30" t="str">
        <f t="shared" si="2"/>
        <v>Ngoài kế hoạch</v>
      </c>
      <c r="L69" s="30" t="str">
        <f t="shared" si="3"/>
        <v>Sản xuất</v>
      </c>
      <c r="M69" s="30">
        <f t="shared" si="4"/>
        <v>1</v>
      </c>
    </row>
    <row r="70" spans="1:13" x14ac:dyDescent="0.2">
      <c r="A70" s="25">
        <v>46290</v>
      </c>
      <c r="B70" s="17" t="s">
        <v>73</v>
      </c>
      <c r="C70" s="13" t="s">
        <v>90</v>
      </c>
      <c r="D70" s="15">
        <v>0.65277777777777779</v>
      </c>
      <c r="E70" s="15">
        <v>0.67013888888888884</v>
      </c>
      <c r="F70" s="17" t="s">
        <v>66</v>
      </c>
      <c r="G70" s="17" t="s">
        <v>116</v>
      </c>
      <c r="H70" s="18"/>
      <c r="I70" s="30">
        <f t="shared" ref="I70:I133" si="5">IF(OR(D70="",E70=""),"",ROUND(MOD(E70-D70,1)*1440,0))</f>
        <v>25</v>
      </c>
      <c r="J70" s="38" t="str">
        <f t="shared" ref="J70:J133" si="6">IF(F70="","",IFERROR(INDEX(LYDO_TEN,MATCH(F70,DS_LYDO,0)),"?"))</f>
        <v>Hỏng máy — cơ khí</v>
      </c>
      <c r="K70" s="30" t="str">
        <f t="shared" ref="K70:K133" si="7">IF(F70="","",IFERROR(INDEX(LYDO_LOAI,MATCH(F70,DS_LYDO,0)),"?"))</f>
        <v>Ngoài kế hoạch</v>
      </c>
      <c r="L70" s="30" t="str">
        <f t="shared" ref="L70:L133" si="8">IF(F70="","",IFERROR(INDEX(LYDO_BP,MATCH(F70,DS_LYDO,0)),"?"))</f>
        <v>Bảo trì</v>
      </c>
      <c r="M70" s="30">
        <f t="shared" ref="M70:M133" si="9">IF(I70="","",IF(MOD(I70,5)=0,1,0))</f>
        <v>1</v>
      </c>
    </row>
    <row r="71" spans="1:13" x14ac:dyDescent="0.2">
      <c r="A71" s="35"/>
      <c r="B71" s="21"/>
      <c r="C71" s="18"/>
      <c r="D71" s="20"/>
      <c r="E71" s="20"/>
      <c r="F71" s="21"/>
      <c r="G71" s="21"/>
      <c r="H71" s="18"/>
      <c r="I71" s="30" t="str">
        <f t="shared" si="5"/>
        <v/>
      </c>
      <c r="J71" s="38" t="str">
        <f t="shared" si="6"/>
        <v/>
      </c>
      <c r="K71" s="30" t="str">
        <f t="shared" si="7"/>
        <v/>
      </c>
      <c r="L71" s="30" t="str">
        <f t="shared" si="8"/>
        <v/>
      </c>
      <c r="M71" s="30" t="str">
        <f t="shared" si="9"/>
        <v/>
      </c>
    </row>
    <row r="72" spans="1:13" x14ac:dyDescent="0.2">
      <c r="A72" s="35"/>
      <c r="B72" s="21"/>
      <c r="C72" s="18"/>
      <c r="D72" s="20"/>
      <c r="E72" s="20"/>
      <c r="F72" s="21"/>
      <c r="G72" s="21"/>
      <c r="H72" s="18"/>
      <c r="I72" s="30" t="str">
        <f t="shared" si="5"/>
        <v/>
      </c>
      <c r="J72" s="38" t="str">
        <f t="shared" si="6"/>
        <v/>
      </c>
      <c r="K72" s="30" t="str">
        <f t="shared" si="7"/>
        <v/>
      </c>
      <c r="L72" s="30" t="str">
        <f t="shared" si="8"/>
        <v/>
      </c>
      <c r="M72" s="30" t="str">
        <f t="shared" si="9"/>
        <v/>
      </c>
    </row>
    <row r="73" spans="1:13" x14ac:dyDescent="0.2">
      <c r="A73" s="35"/>
      <c r="B73" s="21"/>
      <c r="C73" s="18"/>
      <c r="D73" s="20"/>
      <c r="E73" s="20"/>
      <c r="F73" s="21"/>
      <c r="G73" s="21"/>
      <c r="H73" s="18"/>
      <c r="I73" s="30" t="str">
        <f t="shared" si="5"/>
        <v/>
      </c>
      <c r="J73" s="38" t="str">
        <f t="shared" si="6"/>
        <v/>
      </c>
      <c r="K73" s="30" t="str">
        <f t="shared" si="7"/>
        <v/>
      </c>
      <c r="L73" s="30" t="str">
        <f t="shared" si="8"/>
        <v/>
      </c>
      <c r="M73" s="30" t="str">
        <f t="shared" si="9"/>
        <v/>
      </c>
    </row>
    <row r="74" spans="1:13" x14ac:dyDescent="0.2">
      <c r="A74" s="35"/>
      <c r="B74" s="21"/>
      <c r="C74" s="18"/>
      <c r="D74" s="20"/>
      <c r="E74" s="20"/>
      <c r="F74" s="21"/>
      <c r="G74" s="21"/>
      <c r="H74" s="18"/>
      <c r="I74" s="30" t="str">
        <f t="shared" si="5"/>
        <v/>
      </c>
      <c r="J74" s="38" t="str">
        <f t="shared" si="6"/>
        <v/>
      </c>
      <c r="K74" s="30" t="str">
        <f t="shared" si="7"/>
        <v/>
      </c>
      <c r="L74" s="30" t="str">
        <f t="shared" si="8"/>
        <v/>
      </c>
      <c r="M74" s="30" t="str">
        <f t="shared" si="9"/>
        <v/>
      </c>
    </row>
    <row r="75" spans="1:13" x14ac:dyDescent="0.2">
      <c r="A75" s="35"/>
      <c r="B75" s="21"/>
      <c r="C75" s="18"/>
      <c r="D75" s="20"/>
      <c r="E75" s="20"/>
      <c r="F75" s="21"/>
      <c r="G75" s="21"/>
      <c r="H75" s="18"/>
      <c r="I75" s="30" t="str">
        <f t="shared" si="5"/>
        <v/>
      </c>
      <c r="J75" s="38" t="str">
        <f t="shared" si="6"/>
        <v/>
      </c>
      <c r="K75" s="30" t="str">
        <f t="shared" si="7"/>
        <v/>
      </c>
      <c r="L75" s="30" t="str">
        <f t="shared" si="8"/>
        <v/>
      </c>
      <c r="M75" s="30" t="str">
        <f t="shared" si="9"/>
        <v/>
      </c>
    </row>
    <row r="76" spans="1:13" x14ac:dyDescent="0.2">
      <c r="A76" s="35"/>
      <c r="B76" s="21"/>
      <c r="C76" s="18"/>
      <c r="D76" s="20"/>
      <c r="E76" s="20"/>
      <c r="F76" s="21"/>
      <c r="G76" s="21"/>
      <c r="H76" s="18"/>
      <c r="I76" s="30" t="str">
        <f t="shared" si="5"/>
        <v/>
      </c>
      <c r="J76" s="38" t="str">
        <f t="shared" si="6"/>
        <v/>
      </c>
      <c r="K76" s="30" t="str">
        <f t="shared" si="7"/>
        <v/>
      </c>
      <c r="L76" s="30" t="str">
        <f t="shared" si="8"/>
        <v/>
      </c>
      <c r="M76" s="30" t="str">
        <f t="shared" si="9"/>
        <v/>
      </c>
    </row>
    <row r="77" spans="1:13" x14ac:dyDescent="0.2">
      <c r="A77" s="35"/>
      <c r="B77" s="21"/>
      <c r="C77" s="18"/>
      <c r="D77" s="20"/>
      <c r="E77" s="20"/>
      <c r="F77" s="21"/>
      <c r="G77" s="21"/>
      <c r="H77" s="18"/>
      <c r="I77" s="30" t="str">
        <f t="shared" si="5"/>
        <v/>
      </c>
      <c r="J77" s="38" t="str">
        <f t="shared" si="6"/>
        <v/>
      </c>
      <c r="K77" s="30" t="str">
        <f t="shared" si="7"/>
        <v/>
      </c>
      <c r="L77" s="30" t="str">
        <f t="shared" si="8"/>
        <v/>
      </c>
      <c r="M77" s="30" t="str">
        <f t="shared" si="9"/>
        <v/>
      </c>
    </row>
    <row r="78" spans="1:13" x14ac:dyDescent="0.2">
      <c r="A78" s="35"/>
      <c r="B78" s="21"/>
      <c r="C78" s="18"/>
      <c r="D78" s="20"/>
      <c r="E78" s="20"/>
      <c r="F78" s="21"/>
      <c r="G78" s="21"/>
      <c r="H78" s="18"/>
      <c r="I78" s="30" t="str">
        <f t="shared" si="5"/>
        <v/>
      </c>
      <c r="J78" s="38" t="str">
        <f t="shared" si="6"/>
        <v/>
      </c>
      <c r="K78" s="30" t="str">
        <f t="shared" si="7"/>
        <v/>
      </c>
      <c r="L78" s="30" t="str">
        <f t="shared" si="8"/>
        <v/>
      </c>
      <c r="M78" s="30" t="str">
        <f t="shared" si="9"/>
        <v/>
      </c>
    </row>
    <row r="79" spans="1:13" x14ac:dyDescent="0.2">
      <c r="A79" s="35"/>
      <c r="B79" s="21"/>
      <c r="C79" s="18"/>
      <c r="D79" s="20"/>
      <c r="E79" s="20"/>
      <c r="F79" s="21"/>
      <c r="G79" s="21"/>
      <c r="H79" s="18"/>
      <c r="I79" s="30" t="str">
        <f t="shared" si="5"/>
        <v/>
      </c>
      <c r="J79" s="38" t="str">
        <f t="shared" si="6"/>
        <v/>
      </c>
      <c r="K79" s="30" t="str">
        <f t="shared" si="7"/>
        <v/>
      </c>
      <c r="L79" s="30" t="str">
        <f t="shared" si="8"/>
        <v/>
      </c>
      <c r="M79" s="30" t="str">
        <f t="shared" si="9"/>
        <v/>
      </c>
    </row>
    <row r="80" spans="1:13" x14ac:dyDescent="0.2">
      <c r="A80" s="35"/>
      <c r="B80" s="21"/>
      <c r="C80" s="18"/>
      <c r="D80" s="20"/>
      <c r="E80" s="20"/>
      <c r="F80" s="21"/>
      <c r="G80" s="21"/>
      <c r="H80" s="18"/>
      <c r="I80" s="30" t="str">
        <f t="shared" si="5"/>
        <v/>
      </c>
      <c r="J80" s="38" t="str">
        <f t="shared" si="6"/>
        <v/>
      </c>
      <c r="K80" s="30" t="str">
        <f t="shared" si="7"/>
        <v/>
      </c>
      <c r="L80" s="30" t="str">
        <f t="shared" si="8"/>
        <v/>
      </c>
      <c r="M80" s="30" t="str">
        <f t="shared" si="9"/>
        <v/>
      </c>
    </row>
    <row r="81" spans="1:13" x14ac:dyDescent="0.2">
      <c r="A81" s="35"/>
      <c r="B81" s="21"/>
      <c r="C81" s="18"/>
      <c r="D81" s="20"/>
      <c r="E81" s="20"/>
      <c r="F81" s="21"/>
      <c r="G81" s="21"/>
      <c r="H81" s="18"/>
      <c r="I81" s="30" t="str">
        <f t="shared" si="5"/>
        <v/>
      </c>
      <c r="J81" s="38" t="str">
        <f t="shared" si="6"/>
        <v/>
      </c>
      <c r="K81" s="30" t="str">
        <f t="shared" si="7"/>
        <v/>
      </c>
      <c r="L81" s="30" t="str">
        <f t="shared" si="8"/>
        <v/>
      </c>
      <c r="M81" s="30" t="str">
        <f t="shared" si="9"/>
        <v/>
      </c>
    </row>
    <row r="82" spans="1:13" x14ac:dyDescent="0.2">
      <c r="A82" s="35"/>
      <c r="B82" s="21"/>
      <c r="C82" s="18"/>
      <c r="D82" s="20"/>
      <c r="E82" s="20"/>
      <c r="F82" s="21"/>
      <c r="G82" s="21"/>
      <c r="H82" s="18"/>
      <c r="I82" s="30" t="str">
        <f t="shared" si="5"/>
        <v/>
      </c>
      <c r="J82" s="38" t="str">
        <f t="shared" si="6"/>
        <v/>
      </c>
      <c r="K82" s="30" t="str">
        <f t="shared" si="7"/>
        <v/>
      </c>
      <c r="L82" s="30" t="str">
        <f t="shared" si="8"/>
        <v/>
      </c>
      <c r="M82" s="30" t="str">
        <f t="shared" si="9"/>
        <v/>
      </c>
    </row>
    <row r="83" spans="1:13" x14ac:dyDescent="0.2">
      <c r="A83" s="35"/>
      <c r="B83" s="21"/>
      <c r="C83" s="18"/>
      <c r="D83" s="20"/>
      <c r="E83" s="20"/>
      <c r="F83" s="21"/>
      <c r="G83" s="21"/>
      <c r="H83" s="18"/>
      <c r="I83" s="30" t="str">
        <f t="shared" si="5"/>
        <v/>
      </c>
      <c r="J83" s="38" t="str">
        <f t="shared" si="6"/>
        <v/>
      </c>
      <c r="K83" s="30" t="str">
        <f t="shared" si="7"/>
        <v/>
      </c>
      <c r="L83" s="30" t="str">
        <f t="shared" si="8"/>
        <v/>
      </c>
      <c r="M83" s="30" t="str">
        <f t="shared" si="9"/>
        <v/>
      </c>
    </row>
    <row r="84" spans="1:13" x14ac:dyDescent="0.2">
      <c r="A84" s="35"/>
      <c r="B84" s="21"/>
      <c r="C84" s="18"/>
      <c r="D84" s="20"/>
      <c r="E84" s="20"/>
      <c r="F84" s="21"/>
      <c r="G84" s="21"/>
      <c r="H84" s="18"/>
      <c r="I84" s="30" t="str">
        <f t="shared" si="5"/>
        <v/>
      </c>
      <c r="J84" s="38" t="str">
        <f t="shared" si="6"/>
        <v/>
      </c>
      <c r="K84" s="30" t="str">
        <f t="shared" si="7"/>
        <v/>
      </c>
      <c r="L84" s="30" t="str">
        <f t="shared" si="8"/>
        <v/>
      </c>
      <c r="M84" s="30" t="str">
        <f t="shared" si="9"/>
        <v/>
      </c>
    </row>
    <row r="85" spans="1:13" x14ac:dyDescent="0.2">
      <c r="A85" s="35"/>
      <c r="B85" s="21"/>
      <c r="C85" s="18"/>
      <c r="D85" s="20"/>
      <c r="E85" s="20"/>
      <c r="F85" s="21"/>
      <c r="G85" s="21"/>
      <c r="H85" s="18"/>
      <c r="I85" s="30" t="str">
        <f t="shared" si="5"/>
        <v/>
      </c>
      <c r="J85" s="38" t="str">
        <f t="shared" si="6"/>
        <v/>
      </c>
      <c r="K85" s="30" t="str">
        <f t="shared" si="7"/>
        <v/>
      </c>
      <c r="L85" s="30" t="str">
        <f t="shared" si="8"/>
        <v/>
      </c>
      <c r="M85" s="30" t="str">
        <f t="shared" si="9"/>
        <v/>
      </c>
    </row>
    <row r="86" spans="1:13" x14ac:dyDescent="0.2">
      <c r="A86" s="35"/>
      <c r="B86" s="21"/>
      <c r="C86" s="18"/>
      <c r="D86" s="20"/>
      <c r="E86" s="20"/>
      <c r="F86" s="21"/>
      <c r="G86" s="21"/>
      <c r="H86" s="18"/>
      <c r="I86" s="30" t="str">
        <f t="shared" si="5"/>
        <v/>
      </c>
      <c r="J86" s="38" t="str">
        <f t="shared" si="6"/>
        <v/>
      </c>
      <c r="K86" s="30" t="str">
        <f t="shared" si="7"/>
        <v/>
      </c>
      <c r="L86" s="30" t="str">
        <f t="shared" si="8"/>
        <v/>
      </c>
      <c r="M86" s="30" t="str">
        <f t="shared" si="9"/>
        <v/>
      </c>
    </row>
    <row r="87" spans="1:13" x14ac:dyDescent="0.2">
      <c r="A87" s="35"/>
      <c r="B87" s="21"/>
      <c r="C87" s="18"/>
      <c r="D87" s="20"/>
      <c r="E87" s="20"/>
      <c r="F87" s="21"/>
      <c r="G87" s="21"/>
      <c r="H87" s="18"/>
      <c r="I87" s="30" t="str">
        <f t="shared" si="5"/>
        <v/>
      </c>
      <c r="J87" s="38" t="str">
        <f t="shared" si="6"/>
        <v/>
      </c>
      <c r="K87" s="30" t="str">
        <f t="shared" si="7"/>
        <v/>
      </c>
      <c r="L87" s="30" t="str">
        <f t="shared" si="8"/>
        <v/>
      </c>
      <c r="M87" s="30" t="str">
        <f t="shared" si="9"/>
        <v/>
      </c>
    </row>
    <row r="88" spans="1:13" x14ac:dyDescent="0.2">
      <c r="A88" s="35"/>
      <c r="B88" s="21"/>
      <c r="C88" s="18"/>
      <c r="D88" s="20"/>
      <c r="E88" s="20"/>
      <c r="F88" s="21"/>
      <c r="G88" s="21"/>
      <c r="H88" s="18"/>
      <c r="I88" s="30" t="str">
        <f t="shared" si="5"/>
        <v/>
      </c>
      <c r="J88" s="38" t="str">
        <f t="shared" si="6"/>
        <v/>
      </c>
      <c r="K88" s="30" t="str">
        <f t="shared" si="7"/>
        <v/>
      </c>
      <c r="L88" s="30" t="str">
        <f t="shared" si="8"/>
        <v/>
      </c>
      <c r="M88" s="30" t="str">
        <f t="shared" si="9"/>
        <v/>
      </c>
    </row>
    <row r="89" spans="1:13" x14ac:dyDescent="0.2">
      <c r="A89" s="35"/>
      <c r="B89" s="21"/>
      <c r="C89" s="18"/>
      <c r="D89" s="20"/>
      <c r="E89" s="20"/>
      <c r="F89" s="21"/>
      <c r="G89" s="21"/>
      <c r="H89" s="18"/>
      <c r="I89" s="30" t="str">
        <f t="shared" si="5"/>
        <v/>
      </c>
      <c r="J89" s="38" t="str">
        <f t="shared" si="6"/>
        <v/>
      </c>
      <c r="K89" s="30" t="str">
        <f t="shared" si="7"/>
        <v/>
      </c>
      <c r="L89" s="30" t="str">
        <f t="shared" si="8"/>
        <v/>
      </c>
      <c r="M89" s="30" t="str">
        <f t="shared" si="9"/>
        <v/>
      </c>
    </row>
    <row r="90" spans="1:13" x14ac:dyDescent="0.2">
      <c r="A90" s="35"/>
      <c r="B90" s="21"/>
      <c r="C90" s="18"/>
      <c r="D90" s="20"/>
      <c r="E90" s="20"/>
      <c r="F90" s="21"/>
      <c r="G90" s="21"/>
      <c r="H90" s="18"/>
      <c r="I90" s="30" t="str">
        <f t="shared" si="5"/>
        <v/>
      </c>
      <c r="J90" s="38" t="str">
        <f t="shared" si="6"/>
        <v/>
      </c>
      <c r="K90" s="30" t="str">
        <f t="shared" si="7"/>
        <v/>
      </c>
      <c r="L90" s="30" t="str">
        <f t="shared" si="8"/>
        <v/>
      </c>
      <c r="M90" s="30" t="str">
        <f t="shared" si="9"/>
        <v/>
      </c>
    </row>
    <row r="91" spans="1:13" x14ac:dyDescent="0.2">
      <c r="A91" s="35"/>
      <c r="B91" s="21"/>
      <c r="C91" s="18"/>
      <c r="D91" s="20"/>
      <c r="E91" s="20"/>
      <c r="F91" s="21"/>
      <c r="G91" s="21"/>
      <c r="H91" s="18"/>
      <c r="I91" s="30" t="str">
        <f t="shared" si="5"/>
        <v/>
      </c>
      <c r="J91" s="38" t="str">
        <f t="shared" si="6"/>
        <v/>
      </c>
      <c r="K91" s="30" t="str">
        <f t="shared" si="7"/>
        <v/>
      </c>
      <c r="L91" s="30" t="str">
        <f t="shared" si="8"/>
        <v/>
      </c>
      <c r="M91" s="30" t="str">
        <f t="shared" si="9"/>
        <v/>
      </c>
    </row>
    <row r="92" spans="1:13" x14ac:dyDescent="0.2">
      <c r="A92" s="35"/>
      <c r="B92" s="21"/>
      <c r="C92" s="18"/>
      <c r="D92" s="20"/>
      <c r="E92" s="20"/>
      <c r="F92" s="21"/>
      <c r="G92" s="21"/>
      <c r="H92" s="18"/>
      <c r="I92" s="30" t="str">
        <f t="shared" si="5"/>
        <v/>
      </c>
      <c r="J92" s="38" t="str">
        <f t="shared" si="6"/>
        <v/>
      </c>
      <c r="K92" s="30" t="str">
        <f t="shared" si="7"/>
        <v/>
      </c>
      <c r="L92" s="30" t="str">
        <f t="shared" si="8"/>
        <v/>
      </c>
      <c r="M92" s="30" t="str">
        <f t="shared" si="9"/>
        <v/>
      </c>
    </row>
    <row r="93" spans="1:13" x14ac:dyDescent="0.2">
      <c r="A93" s="35"/>
      <c r="B93" s="21"/>
      <c r="C93" s="18"/>
      <c r="D93" s="20"/>
      <c r="E93" s="20"/>
      <c r="F93" s="21"/>
      <c r="G93" s="21"/>
      <c r="H93" s="18"/>
      <c r="I93" s="30" t="str">
        <f t="shared" si="5"/>
        <v/>
      </c>
      <c r="J93" s="38" t="str">
        <f t="shared" si="6"/>
        <v/>
      </c>
      <c r="K93" s="30" t="str">
        <f t="shared" si="7"/>
        <v/>
      </c>
      <c r="L93" s="30" t="str">
        <f t="shared" si="8"/>
        <v/>
      </c>
      <c r="M93" s="30" t="str">
        <f t="shared" si="9"/>
        <v/>
      </c>
    </row>
    <row r="94" spans="1:13" x14ac:dyDescent="0.2">
      <c r="A94" s="35"/>
      <c r="B94" s="21"/>
      <c r="C94" s="18"/>
      <c r="D94" s="20"/>
      <c r="E94" s="20"/>
      <c r="F94" s="21"/>
      <c r="G94" s="21"/>
      <c r="H94" s="18"/>
      <c r="I94" s="30" t="str">
        <f t="shared" si="5"/>
        <v/>
      </c>
      <c r="J94" s="38" t="str">
        <f t="shared" si="6"/>
        <v/>
      </c>
      <c r="K94" s="30" t="str">
        <f t="shared" si="7"/>
        <v/>
      </c>
      <c r="L94" s="30" t="str">
        <f t="shared" si="8"/>
        <v/>
      </c>
      <c r="M94" s="30" t="str">
        <f t="shared" si="9"/>
        <v/>
      </c>
    </row>
    <row r="95" spans="1:13" x14ac:dyDescent="0.2">
      <c r="A95" s="35"/>
      <c r="B95" s="21"/>
      <c r="C95" s="18"/>
      <c r="D95" s="20"/>
      <c r="E95" s="20"/>
      <c r="F95" s="21"/>
      <c r="G95" s="21"/>
      <c r="H95" s="18"/>
      <c r="I95" s="30" t="str">
        <f t="shared" si="5"/>
        <v/>
      </c>
      <c r="J95" s="38" t="str">
        <f t="shared" si="6"/>
        <v/>
      </c>
      <c r="K95" s="30" t="str">
        <f t="shared" si="7"/>
        <v/>
      </c>
      <c r="L95" s="30" t="str">
        <f t="shared" si="8"/>
        <v/>
      </c>
      <c r="M95" s="30" t="str">
        <f t="shared" si="9"/>
        <v/>
      </c>
    </row>
    <row r="96" spans="1:13" x14ac:dyDescent="0.2">
      <c r="A96" s="35"/>
      <c r="B96" s="21"/>
      <c r="C96" s="18"/>
      <c r="D96" s="20"/>
      <c r="E96" s="20"/>
      <c r="F96" s="21"/>
      <c r="G96" s="21"/>
      <c r="H96" s="18"/>
      <c r="I96" s="30" t="str">
        <f t="shared" si="5"/>
        <v/>
      </c>
      <c r="J96" s="38" t="str">
        <f t="shared" si="6"/>
        <v/>
      </c>
      <c r="K96" s="30" t="str">
        <f t="shared" si="7"/>
        <v/>
      </c>
      <c r="L96" s="30" t="str">
        <f t="shared" si="8"/>
        <v/>
      </c>
      <c r="M96" s="30" t="str">
        <f t="shared" si="9"/>
        <v/>
      </c>
    </row>
    <row r="97" spans="1:13" x14ac:dyDescent="0.2">
      <c r="A97" s="35"/>
      <c r="B97" s="21"/>
      <c r="C97" s="18"/>
      <c r="D97" s="20"/>
      <c r="E97" s="20"/>
      <c r="F97" s="21"/>
      <c r="G97" s="21"/>
      <c r="H97" s="18"/>
      <c r="I97" s="30" t="str">
        <f t="shared" si="5"/>
        <v/>
      </c>
      <c r="J97" s="38" t="str">
        <f t="shared" si="6"/>
        <v/>
      </c>
      <c r="K97" s="30" t="str">
        <f t="shared" si="7"/>
        <v/>
      </c>
      <c r="L97" s="30" t="str">
        <f t="shared" si="8"/>
        <v/>
      </c>
      <c r="M97" s="30" t="str">
        <f t="shared" si="9"/>
        <v/>
      </c>
    </row>
    <row r="98" spans="1:13" x14ac:dyDescent="0.2">
      <c r="A98" s="35"/>
      <c r="B98" s="21"/>
      <c r="C98" s="18"/>
      <c r="D98" s="20"/>
      <c r="E98" s="20"/>
      <c r="F98" s="21"/>
      <c r="G98" s="21"/>
      <c r="H98" s="18"/>
      <c r="I98" s="30" t="str">
        <f t="shared" si="5"/>
        <v/>
      </c>
      <c r="J98" s="38" t="str">
        <f t="shared" si="6"/>
        <v/>
      </c>
      <c r="K98" s="30" t="str">
        <f t="shared" si="7"/>
        <v/>
      </c>
      <c r="L98" s="30" t="str">
        <f t="shared" si="8"/>
        <v/>
      </c>
      <c r="M98" s="30" t="str">
        <f t="shared" si="9"/>
        <v/>
      </c>
    </row>
    <row r="99" spans="1:13" x14ac:dyDescent="0.2">
      <c r="A99" s="35"/>
      <c r="B99" s="21"/>
      <c r="C99" s="18"/>
      <c r="D99" s="20"/>
      <c r="E99" s="20"/>
      <c r="F99" s="21"/>
      <c r="G99" s="21"/>
      <c r="H99" s="18"/>
      <c r="I99" s="30" t="str">
        <f t="shared" si="5"/>
        <v/>
      </c>
      <c r="J99" s="38" t="str">
        <f t="shared" si="6"/>
        <v/>
      </c>
      <c r="K99" s="30" t="str">
        <f t="shared" si="7"/>
        <v/>
      </c>
      <c r="L99" s="30" t="str">
        <f t="shared" si="8"/>
        <v/>
      </c>
      <c r="M99" s="30" t="str">
        <f t="shared" si="9"/>
        <v/>
      </c>
    </row>
    <row r="100" spans="1:13" x14ac:dyDescent="0.2">
      <c r="A100" s="35"/>
      <c r="B100" s="21"/>
      <c r="C100" s="18"/>
      <c r="D100" s="20"/>
      <c r="E100" s="20"/>
      <c r="F100" s="21"/>
      <c r="G100" s="21"/>
      <c r="H100" s="18"/>
      <c r="I100" s="30" t="str">
        <f t="shared" si="5"/>
        <v/>
      </c>
      <c r="J100" s="38" t="str">
        <f t="shared" si="6"/>
        <v/>
      </c>
      <c r="K100" s="30" t="str">
        <f t="shared" si="7"/>
        <v/>
      </c>
      <c r="L100" s="30" t="str">
        <f t="shared" si="8"/>
        <v/>
      </c>
      <c r="M100" s="30" t="str">
        <f t="shared" si="9"/>
        <v/>
      </c>
    </row>
    <row r="101" spans="1:13" x14ac:dyDescent="0.2">
      <c r="A101" s="35"/>
      <c r="B101" s="21"/>
      <c r="C101" s="18"/>
      <c r="D101" s="20"/>
      <c r="E101" s="20"/>
      <c r="F101" s="21"/>
      <c r="G101" s="21"/>
      <c r="H101" s="18"/>
      <c r="I101" s="30" t="str">
        <f t="shared" si="5"/>
        <v/>
      </c>
      <c r="J101" s="38" t="str">
        <f t="shared" si="6"/>
        <v/>
      </c>
      <c r="K101" s="30" t="str">
        <f t="shared" si="7"/>
        <v/>
      </c>
      <c r="L101" s="30" t="str">
        <f t="shared" si="8"/>
        <v/>
      </c>
      <c r="M101" s="30" t="str">
        <f t="shared" si="9"/>
        <v/>
      </c>
    </row>
    <row r="102" spans="1:13" x14ac:dyDescent="0.2">
      <c r="A102" s="35"/>
      <c r="B102" s="21"/>
      <c r="C102" s="18"/>
      <c r="D102" s="20"/>
      <c r="E102" s="20"/>
      <c r="F102" s="21"/>
      <c r="G102" s="21"/>
      <c r="H102" s="18"/>
      <c r="I102" s="30" t="str">
        <f t="shared" si="5"/>
        <v/>
      </c>
      <c r="J102" s="38" t="str">
        <f t="shared" si="6"/>
        <v/>
      </c>
      <c r="K102" s="30" t="str">
        <f t="shared" si="7"/>
        <v/>
      </c>
      <c r="L102" s="30" t="str">
        <f t="shared" si="8"/>
        <v/>
      </c>
      <c r="M102" s="30" t="str">
        <f t="shared" si="9"/>
        <v/>
      </c>
    </row>
    <row r="103" spans="1:13" x14ac:dyDescent="0.2">
      <c r="A103" s="35"/>
      <c r="B103" s="21"/>
      <c r="C103" s="18"/>
      <c r="D103" s="20"/>
      <c r="E103" s="20"/>
      <c r="F103" s="21"/>
      <c r="G103" s="21"/>
      <c r="H103" s="18"/>
      <c r="I103" s="30" t="str">
        <f t="shared" si="5"/>
        <v/>
      </c>
      <c r="J103" s="38" t="str">
        <f t="shared" si="6"/>
        <v/>
      </c>
      <c r="K103" s="30" t="str">
        <f t="shared" si="7"/>
        <v/>
      </c>
      <c r="L103" s="30" t="str">
        <f t="shared" si="8"/>
        <v/>
      </c>
      <c r="M103" s="30" t="str">
        <f t="shared" si="9"/>
        <v/>
      </c>
    </row>
    <row r="104" spans="1:13" x14ac:dyDescent="0.2">
      <c r="A104" s="35"/>
      <c r="B104" s="21"/>
      <c r="C104" s="18"/>
      <c r="D104" s="20"/>
      <c r="E104" s="20"/>
      <c r="F104" s="21"/>
      <c r="G104" s="21"/>
      <c r="H104" s="18"/>
      <c r="I104" s="30" t="str">
        <f t="shared" si="5"/>
        <v/>
      </c>
      <c r="J104" s="38" t="str">
        <f t="shared" si="6"/>
        <v/>
      </c>
      <c r="K104" s="30" t="str">
        <f t="shared" si="7"/>
        <v/>
      </c>
      <c r="L104" s="30" t="str">
        <f t="shared" si="8"/>
        <v/>
      </c>
      <c r="M104" s="30" t="str">
        <f t="shared" si="9"/>
        <v/>
      </c>
    </row>
    <row r="105" spans="1:13" x14ac:dyDescent="0.2">
      <c r="A105" s="35"/>
      <c r="B105" s="21"/>
      <c r="C105" s="18"/>
      <c r="D105" s="20"/>
      <c r="E105" s="20"/>
      <c r="F105" s="21"/>
      <c r="G105" s="21"/>
      <c r="H105" s="18"/>
      <c r="I105" s="30" t="str">
        <f t="shared" si="5"/>
        <v/>
      </c>
      <c r="J105" s="38" t="str">
        <f t="shared" si="6"/>
        <v/>
      </c>
      <c r="K105" s="30" t="str">
        <f t="shared" si="7"/>
        <v/>
      </c>
      <c r="L105" s="30" t="str">
        <f t="shared" si="8"/>
        <v/>
      </c>
      <c r="M105" s="30" t="str">
        <f t="shared" si="9"/>
        <v/>
      </c>
    </row>
    <row r="106" spans="1:13" x14ac:dyDescent="0.2">
      <c r="A106" s="35"/>
      <c r="B106" s="21"/>
      <c r="C106" s="18"/>
      <c r="D106" s="20"/>
      <c r="E106" s="20"/>
      <c r="F106" s="21"/>
      <c r="G106" s="21"/>
      <c r="H106" s="18"/>
      <c r="I106" s="30" t="str">
        <f t="shared" si="5"/>
        <v/>
      </c>
      <c r="J106" s="38" t="str">
        <f t="shared" si="6"/>
        <v/>
      </c>
      <c r="K106" s="30" t="str">
        <f t="shared" si="7"/>
        <v/>
      </c>
      <c r="L106" s="30" t="str">
        <f t="shared" si="8"/>
        <v/>
      </c>
      <c r="M106" s="30" t="str">
        <f t="shared" si="9"/>
        <v/>
      </c>
    </row>
    <row r="107" spans="1:13" x14ac:dyDescent="0.2">
      <c r="A107" s="35"/>
      <c r="B107" s="21"/>
      <c r="C107" s="18"/>
      <c r="D107" s="20"/>
      <c r="E107" s="20"/>
      <c r="F107" s="21"/>
      <c r="G107" s="21"/>
      <c r="H107" s="18"/>
      <c r="I107" s="30" t="str">
        <f t="shared" si="5"/>
        <v/>
      </c>
      <c r="J107" s="38" t="str">
        <f t="shared" si="6"/>
        <v/>
      </c>
      <c r="K107" s="30" t="str">
        <f t="shared" si="7"/>
        <v/>
      </c>
      <c r="L107" s="30" t="str">
        <f t="shared" si="8"/>
        <v/>
      </c>
      <c r="M107" s="30" t="str">
        <f t="shared" si="9"/>
        <v/>
      </c>
    </row>
    <row r="108" spans="1:13" x14ac:dyDescent="0.2">
      <c r="A108" s="35"/>
      <c r="B108" s="21"/>
      <c r="C108" s="18"/>
      <c r="D108" s="20"/>
      <c r="E108" s="20"/>
      <c r="F108" s="21"/>
      <c r="G108" s="21"/>
      <c r="H108" s="18"/>
      <c r="I108" s="30" t="str">
        <f t="shared" si="5"/>
        <v/>
      </c>
      <c r="J108" s="38" t="str">
        <f t="shared" si="6"/>
        <v/>
      </c>
      <c r="K108" s="30" t="str">
        <f t="shared" si="7"/>
        <v/>
      </c>
      <c r="L108" s="30" t="str">
        <f t="shared" si="8"/>
        <v/>
      </c>
      <c r="M108" s="30" t="str">
        <f t="shared" si="9"/>
        <v/>
      </c>
    </row>
    <row r="109" spans="1:13" x14ac:dyDescent="0.2">
      <c r="A109" s="35"/>
      <c r="B109" s="21"/>
      <c r="C109" s="18"/>
      <c r="D109" s="20"/>
      <c r="E109" s="20"/>
      <c r="F109" s="21"/>
      <c r="G109" s="21"/>
      <c r="H109" s="18"/>
      <c r="I109" s="30" t="str">
        <f t="shared" si="5"/>
        <v/>
      </c>
      <c r="J109" s="38" t="str">
        <f t="shared" si="6"/>
        <v/>
      </c>
      <c r="K109" s="30" t="str">
        <f t="shared" si="7"/>
        <v/>
      </c>
      <c r="L109" s="30" t="str">
        <f t="shared" si="8"/>
        <v/>
      </c>
      <c r="M109" s="30" t="str">
        <f t="shared" si="9"/>
        <v/>
      </c>
    </row>
    <row r="110" spans="1:13" x14ac:dyDescent="0.2">
      <c r="A110" s="35"/>
      <c r="B110" s="21"/>
      <c r="C110" s="18"/>
      <c r="D110" s="20"/>
      <c r="E110" s="20"/>
      <c r="F110" s="21"/>
      <c r="G110" s="21"/>
      <c r="H110" s="18"/>
      <c r="I110" s="30" t="str">
        <f t="shared" si="5"/>
        <v/>
      </c>
      <c r="J110" s="38" t="str">
        <f t="shared" si="6"/>
        <v/>
      </c>
      <c r="K110" s="30" t="str">
        <f t="shared" si="7"/>
        <v/>
      </c>
      <c r="L110" s="30" t="str">
        <f t="shared" si="8"/>
        <v/>
      </c>
      <c r="M110" s="30" t="str">
        <f t="shared" si="9"/>
        <v/>
      </c>
    </row>
    <row r="111" spans="1:13" x14ac:dyDescent="0.2">
      <c r="A111" s="35"/>
      <c r="B111" s="21"/>
      <c r="C111" s="18"/>
      <c r="D111" s="20"/>
      <c r="E111" s="20"/>
      <c r="F111" s="21"/>
      <c r="G111" s="21"/>
      <c r="H111" s="18"/>
      <c r="I111" s="30" t="str">
        <f t="shared" si="5"/>
        <v/>
      </c>
      <c r="J111" s="38" t="str">
        <f t="shared" si="6"/>
        <v/>
      </c>
      <c r="K111" s="30" t="str">
        <f t="shared" si="7"/>
        <v/>
      </c>
      <c r="L111" s="30" t="str">
        <f t="shared" si="8"/>
        <v/>
      </c>
      <c r="M111" s="30" t="str">
        <f t="shared" si="9"/>
        <v/>
      </c>
    </row>
    <row r="112" spans="1:13" x14ac:dyDescent="0.2">
      <c r="A112" s="35"/>
      <c r="B112" s="21"/>
      <c r="C112" s="18"/>
      <c r="D112" s="20"/>
      <c r="E112" s="20"/>
      <c r="F112" s="21"/>
      <c r="G112" s="21"/>
      <c r="H112" s="18"/>
      <c r="I112" s="30" t="str">
        <f t="shared" si="5"/>
        <v/>
      </c>
      <c r="J112" s="38" t="str">
        <f t="shared" si="6"/>
        <v/>
      </c>
      <c r="K112" s="30" t="str">
        <f t="shared" si="7"/>
        <v/>
      </c>
      <c r="L112" s="30" t="str">
        <f t="shared" si="8"/>
        <v/>
      </c>
      <c r="M112" s="30" t="str">
        <f t="shared" si="9"/>
        <v/>
      </c>
    </row>
    <row r="113" spans="1:13" x14ac:dyDescent="0.2">
      <c r="A113" s="35"/>
      <c r="B113" s="21"/>
      <c r="C113" s="18"/>
      <c r="D113" s="20"/>
      <c r="E113" s="20"/>
      <c r="F113" s="21"/>
      <c r="G113" s="21"/>
      <c r="H113" s="18"/>
      <c r="I113" s="30" t="str">
        <f t="shared" si="5"/>
        <v/>
      </c>
      <c r="J113" s="38" t="str">
        <f t="shared" si="6"/>
        <v/>
      </c>
      <c r="K113" s="30" t="str">
        <f t="shared" si="7"/>
        <v/>
      </c>
      <c r="L113" s="30" t="str">
        <f t="shared" si="8"/>
        <v/>
      </c>
      <c r="M113" s="30" t="str">
        <f t="shared" si="9"/>
        <v/>
      </c>
    </row>
    <row r="114" spans="1:13" x14ac:dyDescent="0.2">
      <c r="A114" s="35"/>
      <c r="B114" s="21"/>
      <c r="C114" s="18"/>
      <c r="D114" s="20"/>
      <c r="E114" s="20"/>
      <c r="F114" s="21"/>
      <c r="G114" s="21"/>
      <c r="H114" s="18"/>
      <c r="I114" s="30" t="str">
        <f t="shared" si="5"/>
        <v/>
      </c>
      <c r="J114" s="38" t="str">
        <f t="shared" si="6"/>
        <v/>
      </c>
      <c r="K114" s="30" t="str">
        <f t="shared" si="7"/>
        <v/>
      </c>
      <c r="L114" s="30" t="str">
        <f t="shared" si="8"/>
        <v/>
      </c>
      <c r="M114" s="30" t="str">
        <f t="shared" si="9"/>
        <v/>
      </c>
    </row>
    <row r="115" spans="1:13" x14ac:dyDescent="0.2">
      <c r="A115" s="35"/>
      <c r="B115" s="21"/>
      <c r="C115" s="18"/>
      <c r="D115" s="20"/>
      <c r="E115" s="20"/>
      <c r="F115" s="21"/>
      <c r="G115" s="21"/>
      <c r="H115" s="18"/>
      <c r="I115" s="30" t="str">
        <f t="shared" si="5"/>
        <v/>
      </c>
      <c r="J115" s="38" t="str">
        <f t="shared" si="6"/>
        <v/>
      </c>
      <c r="K115" s="30" t="str">
        <f t="shared" si="7"/>
        <v/>
      </c>
      <c r="L115" s="30" t="str">
        <f t="shared" si="8"/>
        <v/>
      </c>
      <c r="M115" s="30" t="str">
        <f t="shared" si="9"/>
        <v/>
      </c>
    </row>
    <row r="116" spans="1:13" x14ac:dyDescent="0.2">
      <c r="A116" s="35"/>
      <c r="B116" s="21"/>
      <c r="C116" s="18"/>
      <c r="D116" s="20"/>
      <c r="E116" s="20"/>
      <c r="F116" s="21"/>
      <c r="G116" s="21"/>
      <c r="H116" s="18"/>
      <c r="I116" s="30" t="str">
        <f t="shared" si="5"/>
        <v/>
      </c>
      <c r="J116" s="38" t="str">
        <f t="shared" si="6"/>
        <v/>
      </c>
      <c r="K116" s="30" t="str">
        <f t="shared" si="7"/>
        <v/>
      </c>
      <c r="L116" s="30" t="str">
        <f t="shared" si="8"/>
        <v/>
      </c>
      <c r="M116" s="30" t="str">
        <f t="shared" si="9"/>
        <v/>
      </c>
    </row>
    <row r="117" spans="1:13" x14ac:dyDescent="0.2">
      <c r="A117" s="35"/>
      <c r="B117" s="21"/>
      <c r="C117" s="18"/>
      <c r="D117" s="20"/>
      <c r="E117" s="20"/>
      <c r="F117" s="21"/>
      <c r="G117" s="21"/>
      <c r="H117" s="18"/>
      <c r="I117" s="30" t="str">
        <f t="shared" si="5"/>
        <v/>
      </c>
      <c r="J117" s="38" t="str">
        <f t="shared" si="6"/>
        <v/>
      </c>
      <c r="K117" s="30" t="str">
        <f t="shared" si="7"/>
        <v/>
      </c>
      <c r="L117" s="30" t="str">
        <f t="shared" si="8"/>
        <v/>
      </c>
      <c r="M117" s="30" t="str">
        <f t="shared" si="9"/>
        <v/>
      </c>
    </row>
    <row r="118" spans="1:13" x14ac:dyDescent="0.2">
      <c r="A118" s="35"/>
      <c r="B118" s="21"/>
      <c r="C118" s="18"/>
      <c r="D118" s="20"/>
      <c r="E118" s="20"/>
      <c r="F118" s="21"/>
      <c r="G118" s="21"/>
      <c r="H118" s="18"/>
      <c r="I118" s="30" t="str">
        <f t="shared" si="5"/>
        <v/>
      </c>
      <c r="J118" s="38" t="str">
        <f t="shared" si="6"/>
        <v/>
      </c>
      <c r="K118" s="30" t="str">
        <f t="shared" si="7"/>
        <v/>
      </c>
      <c r="L118" s="30" t="str">
        <f t="shared" si="8"/>
        <v/>
      </c>
      <c r="M118" s="30" t="str">
        <f t="shared" si="9"/>
        <v/>
      </c>
    </row>
    <row r="119" spans="1:13" x14ac:dyDescent="0.2">
      <c r="A119" s="35"/>
      <c r="B119" s="21"/>
      <c r="C119" s="18"/>
      <c r="D119" s="20"/>
      <c r="E119" s="20"/>
      <c r="F119" s="21"/>
      <c r="G119" s="21"/>
      <c r="H119" s="18"/>
      <c r="I119" s="30" t="str">
        <f t="shared" si="5"/>
        <v/>
      </c>
      <c r="J119" s="38" t="str">
        <f t="shared" si="6"/>
        <v/>
      </c>
      <c r="K119" s="30" t="str">
        <f t="shared" si="7"/>
        <v/>
      </c>
      <c r="L119" s="30" t="str">
        <f t="shared" si="8"/>
        <v/>
      </c>
      <c r="M119" s="30" t="str">
        <f t="shared" si="9"/>
        <v/>
      </c>
    </row>
    <row r="120" spans="1:13" x14ac:dyDescent="0.2">
      <c r="A120" s="35"/>
      <c r="B120" s="21"/>
      <c r="C120" s="18"/>
      <c r="D120" s="20"/>
      <c r="E120" s="20"/>
      <c r="F120" s="21"/>
      <c r="G120" s="21"/>
      <c r="H120" s="18"/>
      <c r="I120" s="30" t="str">
        <f t="shared" si="5"/>
        <v/>
      </c>
      <c r="J120" s="38" t="str">
        <f t="shared" si="6"/>
        <v/>
      </c>
      <c r="K120" s="30" t="str">
        <f t="shared" si="7"/>
        <v/>
      </c>
      <c r="L120" s="30" t="str">
        <f t="shared" si="8"/>
        <v/>
      </c>
      <c r="M120" s="30" t="str">
        <f t="shared" si="9"/>
        <v/>
      </c>
    </row>
    <row r="121" spans="1:13" x14ac:dyDescent="0.2">
      <c r="A121" s="35"/>
      <c r="B121" s="21"/>
      <c r="C121" s="18"/>
      <c r="D121" s="20"/>
      <c r="E121" s="20"/>
      <c r="F121" s="21"/>
      <c r="G121" s="21"/>
      <c r="H121" s="18"/>
      <c r="I121" s="30" t="str">
        <f t="shared" si="5"/>
        <v/>
      </c>
      <c r="J121" s="38" t="str">
        <f t="shared" si="6"/>
        <v/>
      </c>
      <c r="K121" s="30" t="str">
        <f t="shared" si="7"/>
        <v/>
      </c>
      <c r="L121" s="30" t="str">
        <f t="shared" si="8"/>
        <v/>
      </c>
      <c r="M121" s="30" t="str">
        <f t="shared" si="9"/>
        <v/>
      </c>
    </row>
    <row r="122" spans="1:13" x14ac:dyDescent="0.2">
      <c r="A122" s="35"/>
      <c r="B122" s="21"/>
      <c r="C122" s="18"/>
      <c r="D122" s="20"/>
      <c r="E122" s="20"/>
      <c r="F122" s="21"/>
      <c r="G122" s="21"/>
      <c r="H122" s="18"/>
      <c r="I122" s="30" t="str">
        <f t="shared" si="5"/>
        <v/>
      </c>
      <c r="J122" s="38" t="str">
        <f t="shared" si="6"/>
        <v/>
      </c>
      <c r="K122" s="30" t="str">
        <f t="shared" si="7"/>
        <v/>
      </c>
      <c r="L122" s="30" t="str">
        <f t="shared" si="8"/>
        <v/>
      </c>
      <c r="M122" s="30" t="str">
        <f t="shared" si="9"/>
        <v/>
      </c>
    </row>
    <row r="123" spans="1:13" x14ac:dyDescent="0.2">
      <c r="A123" s="35"/>
      <c r="B123" s="21"/>
      <c r="C123" s="18"/>
      <c r="D123" s="20"/>
      <c r="E123" s="20"/>
      <c r="F123" s="21"/>
      <c r="G123" s="21"/>
      <c r="H123" s="18"/>
      <c r="I123" s="30" t="str">
        <f t="shared" si="5"/>
        <v/>
      </c>
      <c r="J123" s="38" t="str">
        <f t="shared" si="6"/>
        <v/>
      </c>
      <c r="K123" s="30" t="str">
        <f t="shared" si="7"/>
        <v/>
      </c>
      <c r="L123" s="30" t="str">
        <f t="shared" si="8"/>
        <v/>
      </c>
      <c r="M123" s="30" t="str">
        <f t="shared" si="9"/>
        <v/>
      </c>
    </row>
    <row r="124" spans="1:13" x14ac:dyDescent="0.2">
      <c r="A124" s="35"/>
      <c r="B124" s="21"/>
      <c r="C124" s="18"/>
      <c r="D124" s="20"/>
      <c r="E124" s="20"/>
      <c r="F124" s="21"/>
      <c r="G124" s="21"/>
      <c r="H124" s="18"/>
      <c r="I124" s="30" t="str">
        <f t="shared" si="5"/>
        <v/>
      </c>
      <c r="J124" s="38" t="str">
        <f t="shared" si="6"/>
        <v/>
      </c>
      <c r="K124" s="30" t="str">
        <f t="shared" si="7"/>
        <v/>
      </c>
      <c r="L124" s="30" t="str">
        <f t="shared" si="8"/>
        <v/>
      </c>
      <c r="M124" s="30" t="str">
        <f t="shared" si="9"/>
        <v/>
      </c>
    </row>
    <row r="125" spans="1:13" x14ac:dyDescent="0.2">
      <c r="A125" s="35"/>
      <c r="B125" s="21"/>
      <c r="C125" s="18"/>
      <c r="D125" s="20"/>
      <c r="E125" s="20"/>
      <c r="F125" s="21"/>
      <c r="G125" s="21"/>
      <c r="H125" s="18"/>
      <c r="I125" s="30" t="str">
        <f t="shared" si="5"/>
        <v/>
      </c>
      <c r="J125" s="38" t="str">
        <f t="shared" si="6"/>
        <v/>
      </c>
      <c r="K125" s="30" t="str">
        <f t="shared" si="7"/>
        <v/>
      </c>
      <c r="L125" s="30" t="str">
        <f t="shared" si="8"/>
        <v/>
      </c>
      <c r="M125" s="30" t="str">
        <f t="shared" si="9"/>
        <v/>
      </c>
    </row>
    <row r="126" spans="1:13" x14ac:dyDescent="0.2">
      <c r="A126" s="35"/>
      <c r="B126" s="21"/>
      <c r="C126" s="18"/>
      <c r="D126" s="20"/>
      <c r="E126" s="20"/>
      <c r="F126" s="21"/>
      <c r="G126" s="21"/>
      <c r="H126" s="18"/>
      <c r="I126" s="30" t="str">
        <f t="shared" si="5"/>
        <v/>
      </c>
      <c r="J126" s="38" t="str">
        <f t="shared" si="6"/>
        <v/>
      </c>
      <c r="K126" s="30" t="str">
        <f t="shared" si="7"/>
        <v/>
      </c>
      <c r="L126" s="30" t="str">
        <f t="shared" si="8"/>
        <v/>
      </c>
      <c r="M126" s="30" t="str">
        <f t="shared" si="9"/>
        <v/>
      </c>
    </row>
    <row r="127" spans="1:13" x14ac:dyDescent="0.2">
      <c r="A127" s="35"/>
      <c r="B127" s="21"/>
      <c r="C127" s="18"/>
      <c r="D127" s="20"/>
      <c r="E127" s="20"/>
      <c r="F127" s="21"/>
      <c r="G127" s="21"/>
      <c r="H127" s="18"/>
      <c r="I127" s="30" t="str">
        <f t="shared" si="5"/>
        <v/>
      </c>
      <c r="J127" s="38" t="str">
        <f t="shared" si="6"/>
        <v/>
      </c>
      <c r="K127" s="30" t="str">
        <f t="shared" si="7"/>
        <v/>
      </c>
      <c r="L127" s="30" t="str">
        <f t="shared" si="8"/>
        <v/>
      </c>
      <c r="M127" s="30" t="str">
        <f t="shared" si="9"/>
        <v/>
      </c>
    </row>
    <row r="128" spans="1:13" x14ac:dyDescent="0.2">
      <c r="A128" s="35"/>
      <c r="B128" s="21"/>
      <c r="C128" s="18"/>
      <c r="D128" s="20"/>
      <c r="E128" s="20"/>
      <c r="F128" s="21"/>
      <c r="G128" s="21"/>
      <c r="H128" s="18"/>
      <c r="I128" s="30" t="str">
        <f t="shared" si="5"/>
        <v/>
      </c>
      <c r="J128" s="38" t="str">
        <f t="shared" si="6"/>
        <v/>
      </c>
      <c r="K128" s="30" t="str">
        <f t="shared" si="7"/>
        <v/>
      </c>
      <c r="L128" s="30" t="str">
        <f t="shared" si="8"/>
        <v/>
      </c>
      <c r="M128" s="30" t="str">
        <f t="shared" si="9"/>
        <v/>
      </c>
    </row>
    <row r="129" spans="1:13" x14ac:dyDescent="0.2">
      <c r="A129" s="35"/>
      <c r="B129" s="21"/>
      <c r="C129" s="18"/>
      <c r="D129" s="20"/>
      <c r="E129" s="20"/>
      <c r="F129" s="21"/>
      <c r="G129" s="21"/>
      <c r="H129" s="18"/>
      <c r="I129" s="30" t="str">
        <f t="shared" si="5"/>
        <v/>
      </c>
      <c r="J129" s="38" t="str">
        <f t="shared" si="6"/>
        <v/>
      </c>
      <c r="K129" s="30" t="str">
        <f t="shared" si="7"/>
        <v/>
      </c>
      <c r="L129" s="30" t="str">
        <f t="shared" si="8"/>
        <v/>
      </c>
      <c r="M129" s="30" t="str">
        <f t="shared" si="9"/>
        <v/>
      </c>
    </row>
    <row r="130" spans="1:13" x14ac:dyDescent="0.2">
      <c r="A130" s="35"/>
      <c r="B130" s="21"/>
      <c r="C130" s="18"/>
      <c r="D130" s="20"/>
      <c r="E130" s="20"/>
      <c r="F130" s="21"/>
      <c r="G130" s="21"/>
      <c r="H130" s="18"/>
      <c r="I130" s="30" t="str">
        <f t="shared" si="5"/>
        <v/>
      </c>
      <c r="J130" s="38" t="str">
        <f t="shared" si="6"/>
        <v/>
      </c>
      <c r="K130" s="30" t="str">
        <f t="shared" si="7"/>
        <v/>
      </c>
      <c r="L130" s="30" t="str">
        <f t="shared" si="8"/>
        <v/>
      </c>
      <c r="M130" s="30" t="str">
        <f t="shared" si="9"/>
        <v/>
      </c>
    </row>
    <row r="131" spans="1:13" x14ac:dyDescent="0.2">
      <c r="A131" s="35"/>
      <c r="B131" s="21"/>
      <c r="C131" s="18"/>
      <c r="D131" s="20"/>
      <c r="E131" s="20"/>
      <c r="F131" s="21"/>
      <c r="G131" s="21"/>
      <c r="H131" s="18"/>
      <c r="I131" s="30" t="str">
        <f t="shared" si="5"/>
        <v/>
      </c>
      <c r="J131" s="38" t="str">
        <f t="shared" si="6"/>
        <v/>
      </c>
      <c r="K131" s="30" t="str">
        <f t="shared" si="7"/>
        <v/>
      </c>
      <c r="L131" s="30" t="str">
        <f t="shared" si="8"/>
        <v/>
      </c>
      <c r="M131" s="30" t="str">
        <f t="shared" si="9"/>
        <v/>
      </c>
    </row>
    <row r="132" spans="1:13" x14ac:dyDescent="0.2">
      <c r="A132" s="35"/>
      <c r="B132" s="21"/>
      <c r="C132" s="18"/>
      <c r="D132" s="20"/>
      <c r="E132" s="20"/>
      <c r="F132" s="21"/>
      <c r="G132" s="21"/>
      <c r="H132" s="18"/>
      <c r="I132" s="30" t="str">
        <f t="shared" si="5"/>
        <v/>
      </c>
      <c r="J132" s="38" t="str">
        <f t="shared" si="6"/>
        <v/>
      </c>
      <c r="K132" s="30" t="str">
        <f t="shared" si="7"/>
        <v/>
      </c>
      <c r="L132" s="30" t="str">
        <f t="shared" si="8"/>
        <v/>
      </c>
      <c r="M132" s="30" t="str">
        <f t="shared" si="9"/>
        <v/>
      </c>
    </row>
    <row r="133" spans="1:13" x14ac:dyDescent="0.2">
      <c r="A133" s="35"/>
      <c r="B133" s="21"/>
      <c r="C133" s="18"/>
      <c r="D133" s="20"/>
      <c r="E133" s="20"/>
      <c r="F133" s="21"/>
      <c r="G133" s="21"/>
      <c r="H133" s="18"/>
      <c r="I133" s="30" t="str">
        <f t="shared" si="5"/>
        <v/>
      </c>
      <c r="J133" s="38" t="str">
        <f t="shared" si="6"/>
        <v/>
      </c>
      <c r="K133" s="30" t="str">
        <f t="shared" si="7"/>
        <v/>
      </c>
      <c r="L133" s="30" t="str">
        <f t="shared" si="8"/>
        <v/>
      </c>
      <c r="M133" s="30" t="str">
        <f t="shared" si="9"/>
        <v/>
      </c>
    </row>
    <row r="134" spans="1:13" x14ac:dyDescent="0.2">
      <c r="A134" s="35"/>
      <c r="B134" s="21"/>
      <c r="C134" s="18"/>
      <c r="D134" s="20"/>
      <c r="E134" s="20"/>
      <c r="F134" s="21"/>
      <c r="G134" s="21"/>
      <c r="H134" s="18"/>
      <c r="I134" s="30" t="str">
        <f t="shared" ref="I134:I197" si="10">IF(OR(D134="",E134=""),"",ROUND(MOD(E134-D134,1)*1440,0))</f>
        <v/>
      </c>
      <c r="J134" s="38" t="str">
        <f t="shared" ref="J134:J197" si="11">IF(F134="","",IFERROR(INDEX(LYDO_TEN,MATCH(F134,DS_LYDO,0)),"?"))</f>
        <v/>
      </c>
      <c r="K134" s="30" t="str">
        <f t="shared" ref="K134:K197" si="12">IF(F134="","",IFERROR(INDEX(LYDO_LOAI,MATCH(F134,DS_LYDO,0)),"?"))</f>
        <v/>
      </c>
      <c r="L134" s="30" t="str">
        <f t="shared" ref="L134:L197" si="13">IF(F134="","",IFERROR(INDEX(LYDO_BP,MATCH(F134,DS_LYDO,0)),"?"))</f>
        <v/>
      </c>
      <c r="M134" s="30" t="str">
        <f t="shared" ref="M134:M197" si="14">IF(I134="","",IF(MOD(I134,5)=0,1,0))</f>
        <v/>
      </c>
    </row>
    <row r="135" spans="1:13" x14ac:dyDescent="0.2">
      <c r="A135" s="35"/>
      <c r="B135" s="21"/>
      <c r="C135" s="18"/>
      <c r="D135" s="20"/>
      <c r="E135" s="20"/>
      <c r="F135" s="21"/>
      <c r="G135" s="21"/>
      <c r="H135" s="18"/>
      <c r="I135" s="30" t="str">
        <f t="shared" si="10"/>
        <v/>
      </c>
      <c r="J135" s="38" t="str">
        <f t="shared" si="11"/>
        <v/>
      </c>
      <c r="K135" s="30" t="str">
        <f t="shared" si="12"/>
        <v/>
      </c>
      <c r="L135" s="30" t="str">
        <f t="shared" si="13"/>
        <v/>
      </c>
      <c r="M135" s="30" t="str">
        <f t="shared" si="14"/>
        <v/>
      </c>
    </row>
    <row r="136" spans="1:13" x14ac:dyDescent="0.2">
      <c r="A136" s="35"/>
      <c r="B136" s="21"/>
      <c r="C136" s="18"/>
      <c r="D136" s="20"/>
      <c r="E136" s="20"/>
      <c r="F136" s="21"/>
      <c r="G136" s="21"/>
      <c r="H136" s="18"/>
      <c r="I136" s="30" t="str">
        <f t="shared" si="10"/>
        <v/>
      </c>
      <c r="J136" s="38" t="str">
        <f t="shared" si="11"/>
        <v/>
      </c>
      <c r="K136" s="30" t="str">
        <f t="shared" si="12"/>
        <v/>
      </c>
      <c r="L136" s="30" t="str">
        <f t="shared" si="13"/>
        <v/>
      </c>
      <c r="M136" s="30" t="str">
        <f t="shared" si="14"/>
        <v/>
      </c>
    </row>
    <row r="137" spans="1:13" x14ac:dyDescent="0.2">
      <c r="A137" s="35"/>
      <c r="B137" s="21"/>
      <c r="C137" s="18"/>
      <c r="D137" s="20"/>
      <c r="E137" s="20"/>
      <c r="F137" s="21"/>
      <c r="G137" s="21"/>
      <c r="H137" s="18"/>
      <c r="I137" s="30" t="str">
        <f t="shared" si="10"/>
        <v/>
      </c>
      <c r="J137" s="38" t="str">
        <f t="shared" si="11"/>
        <v/>
      </c>
      <c r="K137" s="30" t="str">
        <f t="shared" si="12"/>
        <v/>
      </c>
      <c r="L137" s="30" t="str">
        <f t="shared" si="13"/>
        <v/>
      </c>
      <c r="M137" s="30" t="str">
        <f t="shared" si="14"/>
        <v/>
      </c>
    </row>
    <row r="138" spans="1:13" x14ac:dyDescent="0.2">
      <c r="A138" s="35"/>
      <c r="B138" s="21"/>
      <c r="C138" s="18"/>
      <c r="D138" s="20"/>
      <c r="E138" s="20"/>
      <c r="F138" s="21"/>
      <c r="G138" s="21"/>
      <c r="H138" s="18"/>
      <c r="I138" s="30" t="str">
        <f t="shared" si="10"/>
        <v/>
      </c>
      <c r="J138" s="38" t="str">
        <f t="shared" si="11"/>
        <v/>
      </c>
      <c r="K138" s="30" t="str">
        <f t="shared" si="12"/>
        <v/>
      </c>
      <c r="L138" s="30" t="str">
        <f t="shared" si="13"/>
        <v/>
      </c>
      <c r="M138" s="30" t="str">
        <f t="shared" si="14"/>
        <v/>
      </c>
    </row>
    <row r="139" spans="1:13" x14ac:dyDescent="0.2">
      <c r="A139" s="35"/>
      <c r="B139" s="21"/>
      <c r="C139" s="18"/>
      <c r="D139" s="20"/>
      <c r="E139" s="20"/>
      <c r="F139" s="21"/>
      <c r="G139" s="21"/>
      <c r="H139" s="18"/>
      <c r="I139" s="30" t="str">
        <f t="shared" si="10"/>
        <v/>
      </c>
      <c r="J139" s="38" t="str">
        <f t="shared" si="11"/>
        <v/>
      </c>
      <c r="K139" s="30" t="str">
        <f t="shared" si="12"/>
        <v/>
      </c>
      <c r="L139" s="30" t="str">
        <f t="shared" si="13"/>
        <v/>
      </c>
      <c r="M139" s="30" t="str">
        <f t="shared" si="14"/>
        <v/>
      </c>
    </row>
    <row r="140" spans="1:13" x14ac:dyDescent="0.2">
      <c r="A140" s="35"/>
      <c r="B140" s="21"/>
      <c r="C140" s="18"/>
      <c r="D140" s="20"/>
      <c r="E140" s="20"/>
      <c r="F140" s="21"/>
      <c r="G140" s="21"/>
      <c r="H140" s="18"/>
      <c r="I140" s="30" t="str">
        <f t="shared" si="10"/>
        <v/>
      </c>
      <c r="J140" s="38" t="str">
        <f t="shared" si="11"/>
        <v/>
      </c>
      <c r="K140" s="30" t="str">
        <f t="shared" si="12"/>
        <v/>
      </c>
      <c r="L140" s="30" t="str">
        <f t="shared" si="13"/>
        <v/>
      </c>
      <c r="M140" s="30" t="str">
        <f t="shared" si="14"/>
        <v/>
      </c>
    </row>
    <row r="141" spans="1:13" x14ac:dyDescent="0.2">
      <c r="A141" s="35"/>
      <c r="B141" s="21"/>
      <c r="C141" s="18"/>
      <c r="D141" s="20"/>
      <c r="E141" s="20"/>
      <c r="F141" s="21"/>
      <c r="G141" s="21"/>
      <c r="H141" s="18"/>
      <c r="I141" s="30" t="str">
        <f t="shared" si="10"/>
        <v/>
      </c>
      <c r="J141" s="38" t="str">
        <f t="shared" si="11"/>
        <v/>
      </c>
      <c r="K141" s="30" t="str">
        <f t="shared" si="12"/>
        <v/>
      </c>
      <c r="L141" s="30" t="str">
        <f t="shared" si="13"/>
        <v/>
      </c>
      <c r="M141" s="30" t="str">
        <f t="shared" si="14"/>
        <v/>
      </c>
    </row>
    <row r="142" spans="1:13" x14ac:dyDescent="0.2">
      <c r="A142" s="35"/>
      <c r="B142" s="21"/>
      <c r="C142" s="18"/>
      <c r="D142" s="20"/>
      <c r="E142" s="20"/>
      <c r="F142" s="21"/>
      <c r="G142" s="21"/>
      <c r="H142" s="18"/>
      <c r="I142" s="30" t="str">
        <f t="shared" si="10"/>
        <v/>
      </c>
      <c r="J142" s="38" t="str">
        <f t="shared" si="11"/>
        <v/>
      </c>
      <c r="K142" s="30" t="str">
        <f t="shared" si="12"/>
        <v/>
      </c>
      <c r="L142" s="30" t="str">
        <f t="shared" si="13"/>
        <v/>
      </c>
      <c r="M142" s="30" t="str">
        <f t="shared" si="14"/>
        <v/>
      </c>
    </row>
    <row r="143" spans="1:13" x14ac:dyDescent="0.2">
      <c r="A143" s="35"/>
      <c r="B143" s="21"/>
      <c r="C143" s="18"/>
      <c r="D143" s="20"/>
      <c r="E143" s="20"/>
      <c r="F143" s="21"/>
      <c r="G143" s="21"/>
      <c r="H143" s="18"/>
      <c r="I143" s="30" t="str">
        <f t="shared" si="10"/>
        <v/>
      </c>
      <c r="J143" s="38" t="str">
        <f t="shared" si="11"/>
        <v/>
      </c>
      <c r="K143" s="30" t="str">
        <f t="shared" si="12"/>
        <v/>
      </c>
      <c r="L143" s="30" t="str">
        <f t="shared" si="13"/>
        <v/>
      </c>
      <c r="M143" s="30" t="str">
        <f t="shared" si="14"/>
        <v/>
      </c>
    </row>
    <row r="144" spans="1:13" x14ac:dyDescent="0.2">
      <c r="A144" s="35"/>
      <c r="B144" s="21"/>
      <c r="C144" s="18"/>
      <c r="D144" s="20"/>
      <c r="E144" s="20"/>
      <c r="F144" s="21"/>
      <c r="G144" s="21"/>
      <c r="H144" s="18"/>
      <c r="I144" s="30" t="str">
        <f t="shared" si="10"/>
        <v/>
      </c>
      <c r="J144" s="38" t="str">
        <f t="shared" si="11"/>
        <v/>
      </c>
      <c r="K144" s="30" t="str">
        <f t="shared" si="12"/>
        <v/>
      </c>
      <c r="L144" s="30" t="str">
        <f t="shared" si="13"/>
        <v/>
      </c>
      <c r="M144" s="30" t="str">
        <f t="shared" si="14"/>
        <v/>
      </c>
    </row>
    <row r="145" spans="1:13" x14ac:dyDescent="0.2">
      <c r="A145" s="35"/>
      <c r="B145" s="21"/>
      <c r="C145" s="18"/>
      <c r="D145" s="20"/>
      <c r="E145" s="20"/>
      <c r="F145" s="21"/>
      <c r="G145" s="21"/>
      <c r="H145" s="18"/>
      <c r="I145" s="30" t="str">
        <f t="shared" si="10"/>
        <v/>
      </c>
      <c r="J145" s="38" t="str">
        <f t="shared" si="11"/>
        <v/>
      </c>
      <c r="K145" s="30" t="str">
        <f t="shared" si="12"/>
        <v/>
      </c>
      <c r="L145" s="30" t="str">
        <f t="shared" si="13"/>
        <v/>
      </c>
      <c r="M145" s="30" t="str">
        <f t="shared" si="14"/>
        <v/>
      </c>
    </row>
    <row r="146" spans="1:13" x14ac:dyDescent="0.2">
      <c r="A146" s="35"/>
      <c r="B146" s="21"/>
      <c r="C146" s="18"/>
      <c r="D146" s="20"/>
      <c r="E146" s="20"/>
      <c r="F146" s="21"/>
      <c r="G146" s="21"/>
      <c r="H146" s="18"/>
      <c r="I146" s="30" t="str">
        <f t="shared" si="10"/>
        <v/>
      </c>
      <c r="J146" s="38" t="str">
        <f t="shared" si="11"/>
        <v/>
      </c>
      <c r="K146" s="30" t="str">
        <f t="shared" si="12"/>
        <v/>
      </c>
      <c r="L146" s="30" t="str">
        <f t="shared" si="13"/>
        <v/>
      </c>
      <c r="M146" s="30" t="str">
        <f t="shared" si="14"/>
        <v/>
      </c>
    </row>
    <row r="147" spans="1:13" x14ac:dyDescent="0.2">
      <c r="A147" s="35"/>
      <c r="B147" s="21"/>
      <c r="C147" s="18"/>
      <c r="D147" s="20"/>
      <c r="E147" s="20"/>
      <c r="F147" s="21"/>
      <c r="G147" s="21"/>
      <c r="H147" s="18"/>
      <c r="I147" s="30" t="str">
        <f t="shared" si="10"/>
        <v/>
      </c>
      <c r="J147" s="38" t="str">
        <f t="shared" si="11"/>
        <v/>
      </c>
      <c r="K147" s="30" t="str">
        <f t="shared" si="12"/>
        <v/>
      </c>
      <c r="L147" s="30" t="str">
        <f t="shared" si="13"/>
        <v/>
      </c>
      <c r="M147" s="30" t="str">
        <f t="shared" si="14"/>
        <v/>
      </c>
    </row>
    <row r="148" spans="1:13" x14ac:dyDescent="0.2">
      <c r="A148" s="35"/>
      <c r="B148" s="21"/>
      <c r="C148" s="18"/>
      <c r="D148" s="20"/>
      <c r="E148" s="20"/>
      <c r="F148" s="21"/>
      <c r="G148" s="21"/>
      <c r="H148" s="18"/>
      <c r="I148" s="30" t="str">
        <f t="shared" si="10"/>
        <v/>
      </c>
      <c r="J148" s="38" t="str">
        <f t="shared" si="11"/>
        <v/>
      </c>
      <c r="K148" s="30" t="str">
        <f t="shared" si="12"/>
        <v/>
      </c>
      <c r="L148" s="30" t="str">
        <f t="shared" si="13"/>
        <v/>
      </c>
      <c r="M148" s="30" t="str">
        <f t="shared" si="14"/>
        <v/>
      </c>
    </row>
    <row r="149" spans="1:13" x14ac:dyDescent="0.2">
      <c r="A149" s="35"/>
      <c r="B149" s="21"/>
      <c r="C149" s="18"/>
      <c r="D149" s="20"/>
      <c r="E149" s="20"/>
      <c r="F149" s="21"/>
      <c r="G149" s="21"/>
      <c r="H149" s="18"/>
      <c r="I149" s="30" t="str">
        <f t="shared" si="10"/>
        <v/>
      </c>
      <c r="J149" s="38" t="str">
        <f t="shared" si="11"/>
        <v/>
      </c>
      <c r="K149" s="30" t="str">
        <f t="shared" si="12"/>
        <v/>
      </c>
      <c r="L149" s="30" t="str">
        <f t="shared" si="13"/>
        <v/>
      </c>
      <c r="M149" s="30" t="str">
        <f t="shared" si="14"/>
        <v/>
      </c>
    </row>
    <row r="150" spans="1:13" x14ac:dyDescent="0.2">
      <c r="A150" s="35"/>
      <c r="B150" s="21"/>
      <c r="C150" s="18"/>
      <c r="D150" s="20"/>
      <c r="E150" s="20"/>
      <c r="F150" s="21"/>
      <c r="G150" s="21"/>
      <c r="H150" s="18"/>
      <c r="I150" s="30" t="str">
        <f t="shared" si="10"/>
        <v/>
      </c>
      <c r="J150" s="38" t="str">
        <f t="shared" si="11"/>
        <v/>
      </c>
      <c r="K150" s="30" t="str">
        <f t="shared" si="12"/>
        <v/>
      </c>
      <c r="L150" s="30" t="str">
        <f t="shared" si="13"/>
        <v/>
      </c>
      <c r="M150" s="30" t="str">
        <f t="shared" si="14"/>
        <v/>
      </c>
    </row>
    <row r="151" spans="1:13" x14ac:dyDescent="0.2">
      <c r="A151" s="35"/>
      <c r="B151" s="21"/>
      <c r="C151" s="18"/>
      <c r="D151" s="20"/>
      <c r="E151" s="20"/>
      <c r="F151" s="21"/>
      <c r="G151" s="21"/>
      <c r="H151" s="18"/>
      <c r="I151" s="30" t="str">
        <f t="shared" si="10"/>
        <v/>
      </c>
      <c r="J151" s="38" t="str">
        <f t="shared" si="11"/>
        <v/>
      </c>
      <c r="K151" s="30" t="str">
        <f t="shared" si="12"/>
        <v/>
      </c>
      <c r="L151" s="30" t="str">
        <f t="shared" si="13"/>
        <v/>
      </c>
      <c r="M151" s="30" t="str">
        <f t="shared" si="14"/>
        <v/>
      </c>
    </row>
    <row r="152" spans="1:13" x14ac:dyDescent="0.2">
      <c r="A152" s="35"/>
      <c r="B152" s="21"/>
      <c r="C152" s="18"/>
      <c r="D152" s="20"/>
      <c r="E152" s="20"/>
      <c r="F152" s="21"/>
      <c r="G152" s="21"/>
      <c r="H152" s="18"/>
      <c r="I152" s="30" t="str">
        <f t="shared" si="10"/>
        <v/>
      </c>
      <c r="J152" s="38" t="str">
        <f t="shared" si="11"/>
        <v/>
      </c>
      <c r="K152" s="30" t="str">
        <f t="shared" si="12"/>
        <v/>
      </c>
      <c r="L152" s="30" t="str">
        <f t="shared" si="13"/>
        <v/>
      </c>
      <c r="M152" s="30" t="str">
        <f t="shared" si="14"/>
        <v/>
      </c>
    </row>
    <row r="153" spans="1:13" x14ac:dyDescent="0.2">
      <c r="A153" s="35"/>
      <c r="B153" s="21"/>
      <c r="C153" s="18"/>
      <c r="D153" s="20"/>
      <c r="E153" s="20"/>
      <c r="F153" s="21"/>
      <c r="G153" s="21"/>
      <c r="H153" s="18"/>
      <c r="I153" s="30" t="str">
        <f t="shared" si="10"/>
        <v/>
      </c>
      <c r="J153" s="38" t="str">
        <f t="shared" si="11"/>
        <v/>
      </c>
      <c r="K153" s="30" t="str">
        <f t="shared" si="12"/>
        <v/>
      </c>
      <c r="L153" s="30" t="str">
        <f t="shared" si="13"/>
        <v/>
      </c>
      <c r="M153" s="30" t="str">
        <f t="shared" si="14"/>
        <v/>
      </c>
    </row>
    <row r="154" spans="1:13" x14ac:dyDescent="0.2">
      <c r="A154" s="35"/>
      <c r="B154" s="21"/>
      <c r="C154" s="18"/>
      <c r="D154" s="20"/>
      <c r="E154" s="20"/>
      <c r="F154" s="21"/>
      <c r="G154" s="21"/>
      <c r="H154" s="18"/>
      <c r="I154" s="30" t="str">
        <f t="shared" si="10"/>
        <v/>
      </c>
      <c r="J154" s="38" t="str">
        <f t="shared" si="11"/>
        <v/>
      </c>
      <c r="K154" s="30" t="str">
        <f t="shared" si="12"/>
        <v/>
      </c>
      <c r="L154" s="30" t="str">
        <f t="shared" si="13"/>
        <v/>
      </c>
      <c r="M154" s="30" t="str">
        <f t="shared" si="14"/>
        <v/>
      </c>
    </row>
    <row r="155" spans="1:13" x14ac:dyDescent="0.2">
      <c r="A155" s="35"/>
      <c r="B155" s="21"/>
      <c r="C155" s="18"/>
      <c r="D155" s="20"/>
      <c r="E155" s="20"/>
      <c r="F155" s="21"/>
      <c r="G155" s="21"/>
      <c r="H155" s="18"/>
      <c r="I155" s="30" t="str">
        <f t="shared" si="10"/>
        <v/>
      </c>
      <c r="J155" s="38" t="str">
        <f t="shared" si="11"/>
        <v/>
      </c>
      <c r="K155" s="30" t="str">
        <f t="shared" si="12"/>
        <v/>
      </c>
      <c r="L155" s="30" t="str">
        <f t="shared" si="13"/>
        <v/>
      </c>
      <c r="M155" s="30" t="str">
        <f t="shared" si="14"/>
        <v/>
      </c>
    </row>
    <row r="156" spans="1:13" x14ac:dyDescent="0.2">
      <c r="A156" s="35"/>
      <c r="B156" s="21"/>
      <c r="C156" s="18"/>
      <c r="D156" s="20"/>
      <c r="E156" s="20"/>
      <c r="F156" s="21"/>
      <c r="G156" s="21"/>
      <c r="H156" s="18"/>
      <c r="I156" s="30" t="str">
        <f t="shared" si="10"/>
        <v/>
      </c>
      <c r="J156" s="38" t="str">
        <f t="shared" si="11"/>
        <v/>
      </c>
      <c r="K156" s="30" t="str">
        <f t="shared" si="12"/>
        <v/>
      </c>
      <c r="L156" s="30" t="str">
        <f t="shared" si="13"/>
        <v/>
      </c>
      <c r="M156" s="30" t="str">
        <f t="shared" si="14"/>
        <v/>
      </c>
    </row>
    <row r="157" spans="1:13" x14ac:dyDescent="0.2">
      <c r="A157" s="35"/>
      <c r="B157" s="21"/>
      <c r="C157" s="18"/>
      <c r="D157" s="20"/>
      <c r="E157" s="20"/>
      <c r="F157" s="21"/>
      <c r="G157" s="21"/>
      <c r="H157" s="18"/>
      <c r="I157" s="30" t="str">
        <f t="shared" si="10"/>
        <v/>
      </c>
      <c r="J157" s="38" t="str">
        <f t="shared" si="11"/>
        <v/>
      </c>
      <c r="K157" s="30" t="str">
        <f t="shared" si="12"/>
        <v/>
      </c>
      <c r="L157" s="30" t="str">
        <f t="shared" si="13"/>
        <v/>
      </c>
      <c r="M157" s="30" t="str">
        <f t="shared" si="14"/>
        <v/>
      </c>
    </row>
    <row r="158" spans="1:13" x14ac:dyDescent="0.2">
      <c r="A158" s="35"/>
      <c r="B158" s="21"/>
      <c r="C158" s="18"/>
      <c r="D158" s="20"/>
      <c r="E158" s="20"/>
      <c r="F158" s="21"/>
      <c r="G158" s="21"/>
      <c r="H158" s="18"/>
      <c r="I158" s="30" t="str">
        <f t="shared" si="10"/>
        <v/>
      </c>
      <c r="J158" s="38" t="str">
        <f t="shared" si="11"/>
        <v/>
      </c>
      <c r="K158" s="30" t="str">
        <f t="shared" si="12"/>
        <v/>
      </c>
      <c r="L158" s="30" t="str">
        <f t="shared" si="13"/>
        <v/>
      </c>
      <c r="M158" s="30" t="str">
        <f t="shared" si="14"/>
        <v/>
      </c>
    </row>
    <row r="159" spans="1:13" x14ac:dyDescent="0.2">
      <c r="A159" s="35"/>
      <c r="B159" s="21"/>
      <c r="C159" s="18"/>
      <c r="D159" s="20"/>
      <c r="E159" s="20"/>
      <c r="F159" s="21"/>
      <c r="G159" s="21"/>
      <c r="H159" s="18"/>
      <c r="I159" s="30" t="str">
        <f t="shared" si="10"/>
        <v/>
      </c>
      <c r="J159" s="38" t="str">
        <f t="shared" si="11"/>
        <v/>
      </c>
      <c r="K159" s="30" t="str">
        <f t="shared" si="12"/>
        <v/>
      </c>
      <c r="L159" s="30" t="str">
        <f t="shared" si="13"/>
        <v/>
      </c>
      <c r="M159" s="30" t="str">
        <f t="shared" si="14"/>
        <v/>
      </c>
    </row>
    <row r="160" spans="1:13" x14ac:dyDescent="0.2">
      <c r="A160" s="35"/>
      <c r="B160" s="21"/>
      <c r="C160" s="18"/>
      <c r="D160" s="20"/>
      <c r="E160" s="20"/>
      <c r="F160" s="21"/>
      <c r="G160" s="21"/>
      <c r="H160" s="18"/>
      <c r="I160" s="30" t="str">
        <f t="shared" si="10"/>
        <v/>
      </c>
      <c r="J160" s="38" t="str">
        <f t="shared" si="11"/>
        <v/>
      </c>
      <c r="K160" s="30" t="str">
        <f t="shared" si="12"/>
        <v/>
      </c>
      <c r="L160" s="30" t="str">
        <f t="shared" si="13"/>
        <v/>
      </c>
      <c r="M160" s="30" t="str">
        <f t="shared" si="14"/>
        <v/>
      </c>
    </row>
    <row r="161" spans="1:13" x14ac:dyDescent="0.2">
      <c r="A161" s="35"/>
      <c r="B161" s="21"/>
      <c r="C161" s="18"/>
      <c r="D161" s="20"/>
      <c r="E161" s="20"/>
      <c r="F161" s="21"/>
      <c r="G161" s="21"/>
      <c r="H161" s="18"/>
      <c r="I161" s="30" t="str">
        <f t="shared" si="10"/>
        <v/>
      </c>
      <c r="J161" s="38" t="str">
        <f t="shared" si="11"/>
        <v/>
      </c>
      <c r="K161" s="30" t="str">
        <f t="shared" si="12"/>
        <v/>
      </c>
      <c r="L161" s="30" t="str">
        <f t="shared" si="13"/>
        <v/>
      </c>
      <c r="M161" s="30" t="str">
        <f t="shared" si="14"/>
        <v/>
      </c>
    </row>
    <row r="162" spans="1:13" x14ac:dyDescent="0.2">
      <c r="A162" s="35"/>
      <c r="B162" s="21"/>
      <c r="C162" s="18"/>
      <c r="D162" s="20"/>
      <c r="E162" s="20"/>
      <c r="F162" s="21"/>
      <c r="G162" s="21"/>
      <c r="H162" s="18"/>
      <c r="I162" s="30" t="str">
        <f t="shared" si="10"/>
        <v/>
      </c>
      <c r="J162" s="38" t="str">
        <f t="shared" si="11"/>
        <v/>
      </c>
      <c r="K162" s="30" t="str">
        <f t="shared" si="12"/>
        <v/>
      </c>
      <c r="L162" s="30" t="str">
        <f t="shared" si="13"/>
        <v/>
      </c>
      <c r="M162" s="30" t="str">
        <f t="shared" si="14"/>
        <v/>
      </c>
    </row>
    <row r="163" spans="1:13" x14ac:dyDescent="0.2">
      <c r="A163" s="35"/>
      <c r="B163" s="21"/>
      <c r="C163" s="18"/>
      <c r="D163" s="20"/>
      <c r="E163" s="20"/>
      <c r="F163" s="21"/>
      <c r="G163" s="21"/>
      <c r="H163" s="18"/>
      <c r="I163" s="30" t="str">
        <f t="shared" si="10"/>
        <v/>
      </c>
      <c r="J163" s="38" t="str">
        <f t="shared" si="11"/>
        <v/>
      </c>
      <c r="K163" s="30" t="str">
        <f t="shared" si="12"/>
        <v/>
      </c>
      <c r="L163" s="30" t="str">
        <f t="shared" si="13"/>
        <v/>
      </c>
      <c r="M163" s="30" t="str">
        <f t="shared" si="14"/>
        <v/>
      </c>
    </row>
    <row r="164" spans="1:13" x14ac:dyDescent="0.2">
      <c r="A164" s="35"/>
      <c r="B164" s="21"/>
      <c r="C164" s="18"/>
      <c r="D164" s="20"/>
      <c r="E164" s="20"/>
      <c r="F164" s="21"/>
      <c r="G164" s="21"/>
      <c r="H164" s="18"/>
      <c r="I164" s="30" t="str">
        <f t="shared" si="10"/>
        <v/>
      </c>
      <c r="J164" s="38" t="str">
        <f t="shared" si="11"/>
        <v/>
      </c>
      <c r="K164" s="30" t="str">
        <f t="shared" si="12"/>
        <v/>
      </c>
      <c r="L164" s="30" t="str">
        <f t="shared" si="13"/>
        <v/>
      </c>
      <c r="M164" s="30" t="str">
        <f t="shared" si="14"/>
        <v/>
      </c>
    </row>
    <row r="165" spans="1:13" x14ac:dyDescent="0.2">
      <c r="A165" s="35"/>
      <c r="B165" s="21"/>
      <c r="C165" s="18"/>
      <c r="D165" s="20"/>
      <c r="E165" s="20"/>
      <c r="F165" s="21"/>
      <c r="G165" s="21"/>
      <c r="H165" s="18"/>
      <c r="I165" s="30" t="str">
        <f t="shared" si="10"/>
        <v/>
      </c>
      <c r="J165" s="38" t="str">
        <f t="shared" si="11"/>
        <v/>
      </c>
      <c r="K165" s="30" t="str">
        <f t="shared" si="12"/>
        <v/>
      </c>
      <c r="L165" s="30" t="str">
        <f t="shared" si="13"/>
        <v/>
      </c>
      <c r="M165" s="30" t="str">
        <f t="shared" si="14"/>
        <v/>
      </c>
    </row>
    <row r="166" spans="1:13" x14ac:dyDescent="0.2">
      <c r="A166" s="35"/>
      <c r="B166" s="21"/>
      <c r="C166" s="18"/>
      <c r="D166" s="20"/>
      <c r="E166" s="20"/>
      <c r="F166" s="21"/>
      <c r="G166" s="21"/>
      <c r="H166" s="18"/>
      <c r="I166" s="30" t="str">
        <f t="shared" si="10"/>
        <v/>
      </c>
      <c r="J166" s="38" t="str">
        <f t="shared" si="11"/>
        <v/>
      </c>
      <c r="K166" s="30" t="str">
        <f t="shared" si="12"/>
        <v/>
      </c>
      <c r="L166" s="30" t="str">
        <f t="shared" si="13"/>
        <v/>
      </c>
      <c r="M166" s="30" t="str">
        <f t="shared" si="14"/>
        <v/>
      </c>
    </row>
    <row r="167" spans="1:13" x14ac:dyDescent="0.2">
      <c r="A167" s="35"/>
      <c r="B167" s="21"/>
      <c r="C167" s="18"/>
      <c r="D167" s="20"/>
      <c r="E167" s="20"/>
      <c r="F167" s="21"/>
      <c r="G167" s="21"/>
      <c r="H167" s="18"/>
      <c r="I167" s="30" t="str">
        <f t="shared" si="10"/>
        <v/>
      </c>
      <c r="J167" s="38" t="str">
        <f t="shared" si="11"/>
        <v/>
      </c>
      <c r="K167" s="30" t="str">
        <f t="shared" si="12"/>
        <v/>
      </c>
      <c r="L167" s="30" t="str">
        <f t="shared" si="13"/>
        <v/>
      </c>
      <c r="M167" s="30" t="str">
        <f t="shared" si="14"/>
        <v/>
      </c>
    </row>
    <row r="168" spans="1:13" x14ac:dyDescent="0.2">
      <c r="A168" s="35"/>
      <c r="B168" s="21"/>
      <c r="C168" s="18"/>
      <c r="D168" s="20"/>
      <c r="E168" s="20"/>
      <c r="F168" s="21"/>
      <c r="G168" s="21"/>
      <c r="H168" s="18"/>
      <c r="I168" s="30" t="str">
        <f t="shared" si="10"/>
        <v/>
      </c>
      <c r="J168" s="38" t="str">
        <f t="shared" si="11"/>
        <v/>
      </c>
      <c r="K168" s="30" t="str">
        <f t="shared" si="12"/>
        <v/>
      </c>
      <c r="L168" s="30" t="str">
        <f t="shared" si="13"/>
        <v/>
      </c>
      <c r="M168" s="30" t="str">
        <f t="shared" si="14"/>
        <v/>
      </c>
    </row>
    <row r="169" spans="1:13" x14ac:dyDescent="0.2">
      <c r="A169" s="35"/>
      <c r="B169" s="21"/>
      <c r="C169" s="18"/>
      <c r="D169" s="20"/>
      <c r="E169" s="20"/>
      <c r="F169" s="21"/>
      <c r="G169" s="21"/>
      <c r="H169" s="18"/>
      <c r="I169" s="30" t="str">
        <f t="shared" si="10"/>
        <v/>
      </c>
      <c r="J169" s="38" t="str">
        <f t="shared" si="11"/>
        <v/>
      </c>
      <c r="K169" s="30" t="str">
        <f t="shared" si="12"/>
        <v/>
      </c>
      <c r="L169" s="30" t="str">
        <f t="shared" si="13"/>
        <v/>
      </c>
      <c r="M169" s="30" t="str">
        <f t="shared" si="14"/>
        <v/>
      </c>
    </row>
    <row r="170" spans="1:13" x14ac:dyDescent="0.2">
      <c r="A170" s="35"/>
      <c r="B170" s="21"/>
      <c r="C170" s="18"/>
      <c r="D170" s="20"/>
      <c r="E170" s="20"/>
      <c r="F170" s="21"/>
      <c r="G170" s="21"/>
      <c r="H170" s="18"/>
      <c r="I170" s="30" t="str">
        <f t="shared" si="10"/>
        <v/>
      </c>
      <c r="J170" s="38" t="str">
        <f t="shared" si="11"/>
        <v/>
      </c>
      <c r="K170" s="30" t="str">
        <f t="shared" si="12"/>
        <v/>
      </c>
      <c r="L170" s="30" t="str">
        <f t="shared" si="13"/>
        <v/>
      </c>
      <c r="M170" s="30" t="str">
        <f t="shared" si="14"/>
        <v/>
      </c>
    </row>
    <row r="171" spans="1:13" x14ac:dyDescent="0.2">
      <c r="A171" s="35"/>
      <c r="B171" s="21"/>
      <c r="C171" s="18"/>
      <c r="D171" s="20"/>
      <c r="E171" s="20"/>
      <c r="F171" s="21"/>
      <c r="G171" s="21"/>
      <c r="H171" s="18"/>
      <c r="I171" s="30" t="str">
        <f t="shared" si="10"/>
        <v/>
      </c>
      <c r="J171" s="38" t="str">
        <f t="shared" si="11"/>
        <v/>
      </c>
      <c r="K171" s="30" t="str">
        <f t="shared" si="12"/>
        <v/>
      </c>
      <c r="L171" s="30" t="str">
        <f t="shared" si="13"/>
        <v/>
      </c>
      <c r="M171" s="30" t="str">
        <f t="shared" si="14"/>
        <v/>
      </c>
    </row>
    <row r="172" spans="1:13" x14ac:dyDescent="0.2">
      <c r="A172" s="35"/>
      <c r="B172" s="21"/>
      <c r="C172" s="18"/>
      <c r="D172" s="20"/>
      <c r="E172" s="20"/>
      <c r="F172" s="21"/>
      <c r="G172" s="21"/>
      <c r="H172" s="18"/>
      <c r="I172" s="30" t="str">
        <f t="shared" si="10"/>
        <v/>
      </c>
      <c r="J172" s="38" t="str">
        <f t="shared" si="11"/>
        <v/>
      </c>
      <c r="K172" s="30" t="str">
        <f t="shared" si="12"/>
        <v/>
      </c>
      <c r="L172" s="30" t="str">
        <f t="shared" si="13"/>
        <v/>
      </c>
      <c r="M172" s="30" t="str">
        <f t="shared" si="14"/>
        <v/>
      </c>
    </row>
    <row r="173" spans="1:13" x14ac:dyDescent="0.2">
      <c r="A173" s="35"/>
      <c r="B173" s="21"/>
      <c r="C173" s="18"/>
      <c r="D173" s="20"/>
      <c r="E173" s="20"/>
      <c r="F173" s="21"/>
      <c r="G173" s="21"/>
      <c r="H173" s="18"/>
      <c r="I173" s="30" t="str">
        <f t="shared" si="10"/>
        <v/>
      </c>
      <c r="J173" s="38" t="str">
        <f t="shared" si="11"/>
        <v/>
      </c>
      <c r="K173" s="30" t="str">
        <f t="shared" si="12"/>
        <v/>
      </c>
      <c r="L173" s="30" t="str">
        <f t="shared" si="13"/>
        <v/>
      </c>
      <c r="M173" s="30" t="str">
        <f t="shared" si="14"/>
        <v/>
      </c>
    </row>
    <row r="174" spans="1:13" x14ac:dyDescent="0.2">
      <c r="A174" s="35"/>
      <c r="B174" s="21"/>
      <c r="C174" s="18"/>
      <c r="D174" s="20"/>
      <c r="E174" s="20"/>
      <c r="F174" s="21"/>
      <c r="G174" s="21"/>
      <c r="H174" s="18"/>
      <c r="I174" s="30" t="str">
        <f t="shared" si="10"/>
        <v/>
      </c>
      <c r="J174" s="38" t="str">
        <f t="shared" si="11"/>
        <v/>
      </c>
      <c r="K174" s="30" t="str">
        <f t="shared" si="12"/>
        <v/>
      </c>
      <c r="L174" s="30" t="str">
        <f t="shared" si="13"/>
        <v/>
      </c>
      <c r="M174" s="30" t="str">
        <f t="shared" si="14"/>
        <v/>
      </c>
    </row>
    <row r="175" spans="1:13" x14ac:dyDescent="0.2">
      <c r="A175" s="35"/>
      <c r="B175" s="21"/>
      <c r="C175" s="18"/>
      <c r="D175" s="20"/>
      <c r="E175" s="20"/>
      <c r="F175" s="21"/>
      <c r="G175" s="21"/>
      <c r="H175" s="18"/>
      <c r="I175" s="30" t="str">
        <f t="shared" si="10"/>
        <v/>
      </c>
      <c r="J175" s="38" t="str">
        <f t="shared" si="11"/>
        <v/>
      </c>
      <c r="K175" s="30" t="str">
        <f t="shared" si="12"/>
        <v/>
      </c>
      <c r="L175" s="30" t="str">
        <f t="shared" si="13"/>
        <v/>
      </c>
      <c r="M175" s="30" t="str">
        <f t="shared" si="14"/>
        <v/>
      </c>
    </row>
    <row r="176" spans="1:13" x14ac:dyDescent="0.2">
      <c r="A176" s="35"/>
      <c r="B176" s="21"/>
      <c r="C176" s="18"/>
      <c r="D176" s="20"/>
      <c r="E176" s="20"/>
      <c r="F176" s="21"/>
      <c r="G176" s="21"/>
      <c r="H176" s="18"/>
      <c r="I176" s="30" t="str">
        <f t="shared" si="10"/>
        <v/>
      </c>
      <c r="J176" s="38" t="str">
        <f t="shared" si="11"/>
        <v/>
      </c>
      <c r="K176" s="30" t="str">
        <f t="shared" si="12"/>
        <v/>
      </c>
      <c r="L176" s="30" t="str">
        <f t="shared" si="13"/>
        <v/>
      </c>
      <c r="M176" s="30" t="str">
        <f t="shared" si="14"/>
        <v/>
      </c>
    </row>
    <row r="177" spans="1:13" x14ac:dyDescent="0.2">
      <c r="A177" s="35"/>
      <c r="B177" s="21"/>
      <c r="C177" s="18"/>
      <c r="D177" s="20"/>
      <c r="E177" s="20"/>
      <c r="F177" s="21"/>
      <c r="G177" s="21"/>
      <c r="H177" s="18"/>
      <c r="I177" s="30" t="str">
        <f t="shared" si="10"/>
        <v/>
      </c>
      <c r="J177" s="38" t="str">
        <f t="shared" si="11"/>
        <v/>
      </c>
      <c r="K177" s="30" t="str">
        <f t="shared" si="12"/>
        <v/>
      </c>
      <c r="L177" s="30" t="str">
        <f t="shared" si="13"/>
        <v/>
      </c>
      <c r="M177" s="30" t="str">
        <f t="shared" si="14"/>
        <v/>
      </c>
    </row>
    <row r="178" spans="1:13" x14ac:dyDescent="0.2">
      <c r="A178" s="35"/>
      <c r="B178" s="21"/>
      <c r="C178" s="18"/>
      <c r="D178" s="20"/>
      <c r="E178" s="20"/>
      <c r="F178" s="21"/>
      <c r="G178" s="21"/>
      <c r="H178" s="18"/>
      <c r="I178" s="30" t="str">
        <f t="shared" si="10"/>
        <v/>
      </c>
      <c r="J178" s="38" t="str">
        <f t="shared" si="11"/>
        <v/>
      </c>
      <c r="K178" s="30" t="str">
        <f t="shared" si="12"/>
        <v/>
      </c>
      <c r="L178" s="30" t="str">
        <f t="shared" si="13"/>
        <v/>
      </c>
      <c r="M178" s="30" t="str">
        <f t="shared" si="14"/>
        <v/>
      </c>
    </row>
    <row r="179" spans="1:13" x14ac:dyDescent="0.2">
      <c r="A179" s="35"/>
      <c r="B179" s="21"/>
      <c r="C179" s="18"/>
      <c r="D179" s="20"/>
      <c r="E179" s="20"/>
      <c r="F179" s="21"/>
      <c r="G179" s="21"/>
      <c r="H179" s="18"/>
      <c r="I179" s="30" t="str">
        <f t="shared" si="10"/>
        <v/>
      </c>
      <c r="J179" s="38" t="str">
        <f t="shared" si="11"/>
        <v/>
      </c>
      <c r="K179" s="30" t="str">
        <f t="shared" si="12"/>
        <v/>
      </c>
      <c r="L179" s="30" t="str">
        <f t="shared" si="13"/>
        <v/>
      </c>
      <c r="M179" s="30" t="str">
        <f t="shared" si="14"/>
        <v/>
      </c>
    </row>
    <row r="180" spans="1:13" x14ac:dyDescent="0.2">
      <c r="A180" s="35"/>
      <c r="B180" s="21"/>
      <c r="C180" s="18"/>
      <c r="D180" s="20"/>
      <c r="E180" s="20"/>
      <c r="F180" s="21"/>
      <c r="G180" s="21"/>
      <c r="H180" s="18"/>
      <c r="I180" s="30" t="str">
        <f t="shared" si="10"/>
        <v/>
      </c>
      <c r="J180" s="38" t="str">
        <f t="shared" si="11"/>
        <v/>
      </c>
      <c r="K180" s="30" t="str">
        <f t="shared" si="12"/>
        <v/>
      </c>
      <c r="L180" s="30" t="str">
        <f t="shared" si="13"/>
        <v/>
      </c>
      <c r="M180" s="30" t="str">
        <f t="shared" si="14"/>
        <v/>
      </c>
    </row>
    <row r="181" spans="1:13" x14ac:dyDescent="0.2">
      <c r="A181" s="35"/>
      <c r="B181" s="21"/>
      <c r="C181" s="18"/>
      <c r="D181" s="20"/>
      <c r="E181" s="20"/>
      <c r="F181" s="21"/>
      <c r="G181" s="21"/>
      <c r="H181" s="18"/>
      <c r="I181" s="30" t="str">
        <f t="shared" si="10"/>
        <v/>
      </c>
      <c r="J181" s="38" t="str">
        <f t="shared" si="11"/>
        <v/>
      </c>
      <c r="K181" s="30" t="str">
        <f t="shared" si="12"/>
        <v/>
      </c>
      <c r="L181" s="30" t="str">
        <f t="shared" si="13"/>
        <v/>
      </c>
      <c r="M181" s="30" t="str">
        <f t="shared" si="14"/>
        <v/>
      </c>
    </row>
    <row r="182" spans="1:13" x14ac:dyDescent="0.2">
      <c r="A182" s="35"/>
      <c r="B182" s="21"/>
      <c r="C182" s="18"/>
      <c r="D182" s="20"/>
      <c r="E182" s="20"/>
      <c r="F182" s="21"/>
      <c r="G182" s="21"/>
      <c r="H182" s="18"/>
      <c r="I182" s="30" t="str">
        <f t="shared" si="10"/>
        <v/>
      </c>
      <c r="J182" s="38" t="str">
        <f t="shared" si="11"/>
        <v/>
      </c>
      <c r="K182" s="30" t="str">
        <f t="shared" si="12"/>
        <v/>
      </c>
      <c r="L182" s="30" t="str">
        <f t="shared" si="13"/>
        <v/>
      </c>
      <c r="M182" s="30" t="str">
        <f t="shared" si="14"/>
        <v/>
      </c>
    </row>
    <row r="183" spans="1:13" x14ac:dyDescent="0.2">
      <c r="A183" s="35"/>
      <c r="B183" s="21"/>
      <c r="C183" s="18"/>
      <c r="D183" s="20"/>
      <c r="E183" s="20"/>
      <c r="F183" s="21"/>
      <c r="G183" s="21"/>
      <c r="H183" s="18"/>
      <c r="I183" s="30" t="str">
        <f t="shared" si="10"/>
        <v/>
      </c>
      <c r="J183" s="38" t="str">
        <f t="shared" si="11"/>
        <v/>
      </c>
      <c r="K183" s="30" t="str">
        <f t="shared" si="12"/>
        <v/>
      </c>
      <c r="L183" s="30" t="str">
        <f t="shared" si="13"/>
        <v/>
      </c>
      <c r="M183" s="30" t="str">
        <f t="shared" si="14"/>
        <v/>
      </c>
    </row>
    <row r="184" spans="1:13" x14ac:dyDescent="0.2">
      <c r="A184" s="35"/>
      <c r="B184" s="21"/>
      <c r="C184" s="18"/>
      <c r="D184" s="20"/>
      <c r="E184" s="20"/>
      <c r="F184" s="21"/>
      <c r="G184" s="21"/>
      <c r="H184" s="18"/>
      <c r="I184" s="30" t="str">
        <f t="shared" si="10"/>
        <v/>
      </c>
      <c r="J184" s="38" t="str">
        <f t="shared" si="11"/>
        <v/>
      </c>
      <c r="K184" s="30" t="str">
        <f t="shared" si="12"/>
        <v/>
      </c>
      <c r="L184" s="30" t="str">
        <f t="shared" si="13"/>
        <v/>
      </c>
      <c r="M184" s="30" t="str">
        <f t="shared" si="14"/>
        <v/>
      </c>
    </row>
    <row r="185" spans="1:13" x14ac:dyDescent="0.2">
      <c r="A185" s="35"/>
      <c r="B185" s="21"/>
      <c r="C185" s="18"/>
      <c r="D185" s="20"/>
      <c r="E185" s="20"/>
      <c r="F185" s="21"/>
      <c r="G185" s="21"/>
      <c r="H185" s="18"/>
      <c r="I185" s="30" t="str">
        <f t="shared" si="10"/>
        <v/>
      </c>
      <c r="J185" s="38" t="str">
        <f t="shared" si="11"/>
        <v/>
      </c>
      <c r="K185" s="30" t="str">
        <f t="shared" si="12"/>
        <v/>
      </c>
      <c r="L185" s="30" t="str">
        <f t="shared" si="13"/>
        <v/>
      </c>
      <c r="M185" s="30" t="str">
        <f t="shared" si="14"/>
        <v/>
      </c>
    </row>
    <row r="186" spans="1:13" x14ac:dyDescent="0.2">
      <c r="A186" s="35"/>
      <c r="B186" s="21"/>
      <c r="C186" s="18"/>
      <c r="D186" s="20"/>
      <c r="E186" s="20"/>
      <c r="F186" s="21"/>
      <c r="G186" s="21"/>
      <c r="H186" s="18"/>
      <c r="I186" s="30" t="str">
        <f t="shared" si="10"/>
        <v/>
      </c>
      <c r="J186" s="38" t="str">
        <f t="shared" si="11"/>
        <v/>
      </c>
      <c r="K186" s="30" t="str">
        <f t="shared" si="12"/>
        <v/>
      </c>
      <c r="L186" s="30" t="str">
        <f t="shared" si="13"/>
        <v/>
      </c>
      <c r="M186" s="30" t="str">
        <f t="shared" si="14"/>
        <v/>
      </c>
    </row>
    <row r="187" spans="1:13" x14ac:dyDescent="0.2">
      <c r="A187" s="35"/>
      <c r="B187" s="21"/>
      <c r="C187" s="18"/>
      <c r="D187" s="20"/>
      <c r="E187" s="20"/>
      <c r="F187" s="21"/>
      <c r="G187" s="21"/>
      <c r="H187" s="18"/>
      <c r="I187" s="30" t="str">
        <f t="shared" si="10"/>
        <v/>
      </c>
      <c r="J187" s="38" t="str">
        <f t="shared" si="11"/>
        <v/>
      </c>
      <c r="K187" s="30" t="str">
        <f t="shared" si="12"/>
        <v/>
      </c>
      <c r="L187" s="30" t="str">
        <f t="shared" si="13"/>
        <v/>
      </c>
      <c r="M187" s="30" t="str">
        <f t="shared" si="14"/>
        <v/>
      </c>
    </row>
    <row r="188" spans="1:13" x14ac:dyDescent="0.2">
      <c r="A188" s="35"/>
      <c r="B188" s="21"/>
      <c r="C188" s="18"/>
      <c r="D188" s="20"/>
      <c r="E188" s="20"/>
      <c r="F188" s="21"/>
      <c r="G188" s="21"/>
      <c r="H188" s="18"/>
      <c r="I188" s="30" t="str">
        <f t="shared" si="10"/>
        <v/>
      </c>
      <c r="J188" s="38" t="str">
        <f t="shared" si="11"/>
        <v/>
      </c>
      <c r="K188" s="30" t="str">
        <f t="shared" si="12"/>
        <v/>
      </c>
      <c r="L188" s="30" t="str">
        <f t="shared" si="13"/>
        <v/>
      </c>
      <c r="M188" s="30" t="str">
        <f t="shared" si="14"/>
        <v/>
      </c>
    </row>
    <row r="189" spans="1:13" x14ac:dyDescent="0.2">
      <c r="A189" s="35"/>
      <c r="B189" s="21"/>
      <c r="C189" s="18"/>
      <c r="D189" s="20"/>
      <c r="E189" s="20"/>
      <c r="F189" s="21"/>
      <c r="G189" s="21"/>
      <c r="H189" s="18"/>
      <c r="I189" s="30" t="str">
        <f t="shared" si="10"/>
        <v/>
      </c>
      <c r="J189" s="38" t="str">
        <f t="shared" si="11"/>
        <v/>
      </c>
      <c r="K189" s="30" t="str">
        <f t="shared" si="12"/>
        <v/>
      </c>
      <c r="L189" s="30" t="str">
        <f t="shared" si="13"/>
        <v/>
      </c>
      <c r="M189" s="30" t="str">
        <f t="shared" si="14"/>
        <v/>
      </c>
    </row>
    <row r="190" spans="1:13" x14ac:dyDescent="0.2">
      <c r="A190" s="35"/>
      <c r="B190" s="21"/>
      <c r="C190" s="18"/>
      <c r="D190" s="20"/>
      <c r="E190" s="20"/>
      <c r="F190" s="21"/>
      <c r="G190" s="21"/>
      <c r="H190" s="18"/>
      <c r="I190" s="30" t="str">
        <f t="shared" si="10"/>
        <v/>
      </c>
      <c r="J190" s="38" t="str">
        <f t="shared" si="11"/>
        <v/>
      </c>
      <c r="K190" s="30" t="str">
        <f t="shared" si="12"/>
        <v/>
      </c>
      <c r="L190" s="30" t="str">
        <f t="shared" si="13"/>
        <v/>
      </c>
      <c r="M190" s="30" t="str">
        <f t="shared" si="14"/>
        <v/>
      </c>
    </row>
    <row r="191" spans="1:13" x14ac:dyDescent="0.2">
      <c r="A191" s="35"/>
      <c r="B191" s="21"/>
      <c r="C191" s="18"/>
      <c r="D191" s="20"/>
      <c r="E191" s="20"/>
      <c r="F191" s="21"/>
      <c r="G191" s="21"/>
      <c r="H191" s="18"/>
      <c r="I191" s="30" t="str">
        <f t="shared" si="10"/>
        <v/>
      </c>
      <c r="J191" s="38" t="str">
        <f t="shared" si="11"/>
        <v/>
      </c>
      <c r="K191" s="30" t="str">
        <f t="shared" si="12"/>
        <v/>
      </c>
      <c r="L191" s="30" t="str">
        <f t="shared" si="13"/>
        <v/>
      </c>
      <c r="M191" s="30" t="str">
        <f t="shared" si="14"/>
        <v/>
      </c>
    </row>
    <row r="192" spans="1:13" x14ac:dyDescent="0.2">
      <c r="A192" s="35"/>
      <c r="B192" s="21"/>
      <c r="C192" s="18"/>
      <c r="D192" s="20"/>
      <c r="E192" s="20"/>
      <c r="F192" s="21"/>
      <c r="G192" s="21"/>
      <c r="H192" s="18"/>
      <c r="I192" s="30" t="str">
        <f t="shared" si="10"/>
        <v/>
      </c>
      <c r="J192" s="38" t="str">
        <f t="shared" si="11"/>
        <v/>
      </c>
      <c r="K192" s="30" t="str">
        <f t="shared" si="12"/>
        <v/>
      </c>
      <c r="L192" s="30" t="str">
        <f t="shared" si="13"/>
        <v/>
      </c>
      <c r="M192" s="30" t="str">
        <f t="shared" si="14"/>
        <v/>
      </c>
    </row>
    <row r="193" spans="1:13" x14ac:dyDescent="0.2">
      <c r="A193" s="35"/>
      <c r="B193" s="21"/>
      <c r="C193" s="18"/>
      <c r="D193" s="20"/>
      <c r="E193" s="20"/>
      <c r="F193" s="21"/>
      <c r="G193" s="21"/>
      <c r="H193" s="18"/>
      <c r="I193" s="30" t="str">
        <f t="shared" si="10"/>
        <v/>
      </c>
      <c r="J193" s="38" t="str">
        <f t="shared" si="11"/>
        <v/>
      </c>
      <c r="K193" s="30" t="str">
        <f t="shared" si="12"/>
        <v/>
      </c>
      <c r="L193" s="30" t="str">
        <f t="shared" si="13"/>
        <v/>
      </c>
      <c r="M193" s="30" t="str">
        <f t="shared" si="14"/>
        <v/>
      </c>
    </row>
    <row r="194" spans="1:13" x14ac:dyDescent="0.2">
      <c r="A194" s="35"/>
      <c r="B194" s="21"/>
      <c r="C194" s="18"/>
      <c r="D194" s="20"/>
      <c r="E194" s="20"/>
      <c r="F194" s="21"/>
      <c r="G194" s="21"/>
      <c r="H194" s="18"/>
      <c r="I194" s="30" t="str">
        <f t="shared" si="10"/>
        <v/>
      </c>
      <c r="J194" s="38" t="str">
        <f t="shared" si="11"/>
        <v/>
      </c>
      <c r="K194" s="30" t="str">
        <f t="shared" si="12"/>
        <v/>
      </c>
      <c r="L194" s="30" t="str">
        <f t="shared" si="13"/>
        <v/>
      </c>
      <c r="M194" s="30" t="str">
        <f t="shared" si="14"/>
        <v/>
      </c>
    </row>
    <row r="195" spans="1:13" x14ac:dyDescent="0.2">
      <c r="A195" s="35"/>
      <c r="B195" s="21"/>
      <c r="C195" s="18"/>
      <c r="D195" s="20"/>
      <c r="E195" s="20"/>
      <c r="F195" s="21"/>
      <c r="G195" s="21"/>
      <c r="H195" s="18"/>
      <c r="I195" s="30" t="str">
        <f t="shared" si="10"/>
        <v/>
      </c>
      <c r="J195" s="38" t="str">
        <f t="shared" si="11"/>
        <v/>
      </c>
      <c r="K195" s="30" t="str">
        <f t="shared" si="12"/>
        <v/>
      </c>
      <c r="L195" s="30" t="str">
        <f t="shared" si="13"/>
        <v/>
      </c>
      <c r="M195" s="30" t="str">
        <f t="shared" si="14"/>
        <v/>
      </c>
    </row>
    <row r="196" spans="1:13" x14ac:dyDescent="0.2">
      <c r="A196" s="35"/>
      <c r="B196" s="21"/>
      <c r="C196" s="18"/>
      <c r="D196" s="20"/>
      <c r="E196" s="20"/>
      <c r="F196" s="21"/>
      <c r="G196" s="21"/>
      <c r="H196" s="18"/>
      <c r="I196" s="30" t="str">
        <f t="shared" si="10"/>
        <v/>
      </c>
      <c r="J196" s="38" t="str">
        <f t="shared" si="11"/>
        <v/>
      </c>
      <c r="K196" s="30" t="str">
        <f t="shared" si="12"/>
        <v/>
      </c>
      <c r="L196" s="30" t="str">
        <f t="shared" si="13"/>
        <v/>
      </c>
      <c r="M196" s="30" t="str">
        <f t="shared" si="14"/>
        <v/>
      </c>
    </row>
    <row r="197" spans="1:13" x14ac:dyDescent="0.2">
      <c r="A197" s="35"/>
      <c r="B197" s="21"/>
      <c r="C197" s="18"/>
      <c r="D197" s="20"/>
      <c r="E197" s="20"/>
      <c r="F197" s="21"/>
      <c r="G197" s="21"/>
      <c r="H197" s="18"/>
      <c r="I197" s="30" t="str">
        <f t="shared" si="10"/>
        <v/>
      </c>
      <c r="J197" s="38" t="str">
        <f t="shared" si="11"/>
        <v/>
      </c>
      <c r="K197" s="30" t="str">
        <f t="shared" si="12"/>
        <v/>
      </c>
      <c r="L197" s="30" t="str">
        <f t="shared" si="13"/>
        <v/>
      </c>
      <c r="M197" s="30" t="str">
        <f t="shared" si="14"/>
        <v/>
      </c>
    </row>
    <row r="198" spans="1:13" x14ac:dyDescent="0.2">
      <c r="A198" s="35"/>
      <c r="B198" s="21"/>
      <c r="C198" s="18"/>
      <c r="D198" s="20"/>
      <c r="E198" s="20"/>
      <c r="F198" s="21"/>
      <c r="G198" s="21"/>
      <c r="H198" s="18"/>
      <c r="I198" s="30" t="str">
        <f t="shared" ref="I198:I261" si="15">IF(OR(D198="",E198=""),"",ROUND(MOD(E198-D198,1)*1440,0))</f>
        <v/>
      </c>
      <c r="J198" s="38" t="str">
        <f t="shared" ref="J198:J261" si="16">IF(F198="","",IFERROR(INDEX(LYDO_TEN,MATCH(F198,DS_LYDO,0)),"?"))</f>
        <v/>
      </c>
      <c r="K198" s="30" t="str">
        <f t="shared" ref="K198:K261" si="17">IF(F198="","",IFERROR(INDEX(LYDO_LOAI,MATCH(F198,DS_LYDO,0)),"?"))</f>
        <v/>
      </c>
      <c r="L198" s="30" t="str">
        <f t="shared" ref="L198:L261" si="18">IF(F198="","",IFERROR(INDEX(LYDO_BP,MATCH(F198,DS_LYDO,0)),"?"))</f>
        <v/>
      </c>
      <c r="M198" s="30" t="str">
        <f t="shared" ref="M198:M261" si="19">IF(I198="","",IF(MOD(I198,5)=0,1,0))</f>
        <v/>
      </c>
    </row>
    <row r="199" spans="1:13" x14ac:dyDescent="0.2">
      <c r="A199" s="35"/>
      <c r="B199" s="21"/>
      <c r="C199" s="18"/>
      <c r="D199" s="20"/>
      <c r="E199" s="20"/>
      <c r="F199" s="21"/>
      <c r="G199" s="21"/>
      <c r="H199" s="18"/>
      <c r="I199" s="30" t="str">
        <f t="shared" si="15"/>
        <v/>
      </c>
      <c r="J199" s="38" t="str">
        <f t="shared" si="16"/>
        <v/>
      </c>
      <c r="K199" s="30" t="str">
        <f t="shared" si="17"/>
        <v/>
      </c>
      <c r="L199" s="30" t="str">
        <f t="shared" si="18"/>
        <v/>
      </c>
      <c r="M199" s="30" t="str">
        <f t="shared" si="19"/>
        <v/>
      </c>
    </row>
    <row r="200" spans="1:13" x14ac:dyDescent="0.2">
      <c r="A200" s="35"/>
      <c r="B200" s="21"/>
      <c r="C200" s="18"/>
      <c r="D200" s="20"/>
      <c r="E200" s="20"/>
      <c r="F200" s="21"/>
      <c r="G200" s="21"/>
      <c r="H200" s="18"/>
      <c r="I200" s="30" t="str">
        <f t="shared" si="15"/>
        <v/>
      </c>
      <c r="J200" s="38" t="str">
        <f t="shared" si="16"/>
        <v/>
      </c>
      <c r="K200" s="30" t="str">
        <f t="shared" si="17"/>
        <v/>
      </c>
      <c r="L200" s="30" t="str">
        <f t="shared" si="18"/>
        <v/>
      </c>
      <c r="M200" s="30" t="str">
        <f t="shared" si="19"/>
        <v/>
      </c>
    </row>
    <row r="201" spans="1:13" x14ac:dyDescent="0.2">
      <c r="A201" s="35"/>
      <c r="B201" s="21"/>
      <c r="C201" s="18"/>
      <c r="D201" s="20"/>
      <c r="E201" s="20"/>
      <c r="F201" s="21"/>
      <c r="G201" s="21"/>
      <c r="H201" s="18"/>
      <c r="I201" s="30" t="str">
        <f t="shared" si="15"/>
        <v/>
      </c>
      <c r="J201" s="38" t="str">
        <f t="shared" si="16"/>
        <v/>
      </c>
      <c r="K201" s="30" t="str">
        <f t="shared" si="17"/>
        <v/>
      </c>
      <c r="L201" s="30" t="str">
        <f t="shared" si="18"/>
        <v/>
      </c>
      <c r="M201" s="30" t="str">
        <f t="shared" si="19"/>
        <v/>
      </c>
    </row>
    <row r="202" spans="1:13" x14ac:dyDescent="0.2">
      <c r="A202" s="35"/>
      <c r="B202" s="21"/>
      <c r="C202" s="18"/>
      <c r="D202" s="20"/>
      <c r="E202" s="20"/>
      <c r="F202" s="21"/>
      <c r="G202" s="21"/>
      <c r="H202" s="18"/>
      <c r="I202" s="30" t="str">
        <f t="shared" si="15"/>
        <v/>
      </c>
      <c r="J202" s="38" t="str">
        <f t="shared" si="16"/>
        <v/>
      </c>
      <c r="K202" s="30" t="str">
        <f t="shared" si="17"/>
        <v/>
      </c>
      <c r="L202" s="30" t="str">
        <f t="shared" si="18"/>
        <v/>
      </c>
      <c r="M202" s="30" t="str">
        <f t="shared" si="19"/>
        <v/>
      </c>
    </row>
    <row r="203" spans="1:13" x14ac:dyDescent="0.2">
      <c r="A203" s="35"/>
      <c r="B203" s="21"/>
      <c r="C203" s="18"/>
      <c r="D203" s="20"/>
      <c r="E203" s="20"/>
      <c r="F203" s="21"/>
      <c r="G203" s="21"/>
      <c r="H203" s="18"/>
      <c r="I203" s="30" t="str">
        <f t="shared" si="15"/>
        <v/>
      </c>
      <c r="J203" s="38" t="str">
        <f t="shared" si="16"/>
        <v/>
      </c>
      <c r="K203" s="30" t="str">
        <f t="shared" si="17"/>
        <v/>
      </c>
      <c r="L203" s="30" t="str">
        <f t="shared" si="18"/>
        <v/>
      </c>
      <c r="M203" s="30" t="str">
        <f t="shared" si="19"/>
        <v/>
      </c>
    </row>
    <row r="204" spans="1:13" x14ac:dyDescent="0.2">
      <c r="A204" s="35"/>
      <c r="B204" s="21"/>
      <c r="C204" s="18"/>
      <c r="D204" s="20"/>
      <c r="E204" s="20"/>
      <c r="F204" s="21"/>
      <c r="G204" s="21"/>
      <c r="H204" s="18"/>
      <c r="I204" s="30" t="str">
        <f t="shared" si="15"/>
        <v/>
      </c>
      <c r="J204" s="38" t="str">
        <f t="shared" si="16"/>
        <v/>
      </c>
      <c r="K204" s="30" t="str">
        <f t="shared" si="17"/>
        <v/>
      </c>
      <c r="L204" s="30" t="str">
        <f t="shared" si="18"/>
        <v/>
      </c>
      <c r="M204" s="30" t="str">
        <f t="shared" si="19"/>
        <v/>
      </c>
    </row>
    <row r="205" spans="1:13" x14ac:dyDescent="0.2">
      <c r="A205" s="35"/>
      <c r="B205" s="21"/>
      <c r="C205" s="18"/>
      <c r="D205" s="20"/>
      <c r="E205" s="20"/>
      <c r="F205" s="21"/>
      <c r="G205" s="21"/>
      <c r="H205" s="18"/>
      <c r="I205" s="30" t="str">
        <f t="shared" si="15"/>
        <v/>
      </c>
      <c r="J205" s="38" t="str">
        <f t="shared" si="16"/>
        <v/>
      </c>
      <c r="K205" s="30" t="str">
        <f t="shared" si="17"/>
        <v/>
      </c>
      <c r="L205" s="30" t="str">
        <f t="shared" si="18"/>
        <v/>
      </c>
      <c r="M205" s="30" t="str">
        <f t="shared" si="19"/>
        <v/>
      </c>
    </row>
    <row r="206" spans="1:13" x14ac:dyDescent="0.2">
      <c r="A206" s="35"/>
      <c r="B206" s="21"/>
      <c r="C206" s="18"/>
      <c r="D206" s="20"/>
      <c r="E206" s="20"/>
      <c r="F206" s="21"/>
      <c r="G206" s="21"/>
      <c r="H206" s="18"/>
      <c r="I206" s="30" t="str">
        <f t="shared" si="15"/>
        <v/>
      </c>
      <c r="J206" s="38" t="str">
        <f t="shared" si="16"/>
        <v/>
      </c>
      <c r="K206" s="30" t="str">
        <f t="shared" si="17"/>
        <v/>
      </c>
      <c r="L206" s="30" t="str">
        <f t="shared" si="18"/>
        <v/>
      </c>
      <c r="M206" s="30" t="str">
        <f t="shared" si="19"/>
        <v/>
      </c>
    </row>
    <row r="207" spans="1:13" x14ac:dyDescent="0.2">
      <c r="A207" s="35"/>
      <c r="B207" s="21"/>
      <c r="C207" s="18"/>
      <c r="D207" s="20"/>
      <c r="E207" s="20"/>
      <c r="F207" s="21"/>
      <c r="G207" s="21"/>
      <c r="H207" s="18"/>
      <c r="I207" s="30" t="str">
        <f t="shared" si="15"/>
        <v/>
      </c>
      <c r="J207" s="38" t="str">
        <f t="shared" si="16"/>
        <v/>
      </c>
      <c r="K207" s="30" t="str">
        <f t="shared" si="17"/>
        <v/>
      </c>
      <c r="L207" s="30" t="str">
        <f t="shared" si="18"/>
        <v/>
      </c>
      <c r="M207" s="30" t="str">
        <f t="shared" si="19"/>
        <v/>
      </c>
    </row>
    <row r="208" spans="1:13" x14ac:dyDescent="0.2">
      <c r="A208" s="35"/>
      <c r="B208" s="21"/>
      <c r="C208" s="18"/>
      <c r="D208" s="20"/>
      <c r="E208" s="20"/>
      <c r="F208" s="21"/>
      <c r="G208" s="21"/>
      <c r="H208" s="18"/>
      <c r="I208" s="30" t="str">
        <f t="shared" si="15"/>
        <v/>
      </c>
      <c r="J208" s="38" t="str">
        <f t="shared" si="16"/>
        <v/>
      </c>
      <c r="K208" s="30" t="str">
        <f t="shared" si="17"/>
        <v/>
      </c>
      <c r="L208" s="30" t="str">
        <f t="shared" si="18"/>
        <v/>
      </c>
      <c r="M208" s="30" t="str">
        <f t="shared" si="19"/>
        <v/>
      </c>
    </row>
    <row r="209" spans="1:13" x14ac:dyDescent="0.2">
      <c r="A209" s="35"/>
      <c r="B209" s="21"/>
      <c r="C209" s="18"/>
      <c r="D209" s="20"/>
      <c r="E209" s="20"/>
      <c r="F209" s="21"/>
      <c r="G209" s="21"/>
      <c r="H209" s="18"/>
      <c r="I209" s="30" t="str">
        <f t="shared" si="15"/>
        <v/>
      </c>
      <c r="J209" s="38" t="str">
        <f t="shared" si="16"/>
        <v/>
      </c>
      <c r="K209" s="30" t="str">
        <f t="shared" si="17"/>
        <v/>
      </c>
      <c r="L209" s="30" t="str">
        <f t="shared" si="18"/>
        <v/>
      </c>
      <c r="M209" s="30" t="str">
        <f t="shared" si="19"/>
        <v/>
      </c>
    </row>
    <row r="210" spans="1:13" x14ac:dyDescent="0.2">
      <c r="A210" s="35"/>
      <c r="B210" s="21"/>
      <c r="C210" s="18"/>
      <c r="D210" s="20"/>
      <c r="E210" s="20"/>
      <c r="F210" s="21"/>
      <c r="G210" s="21"/>
      <c r="H210" s="18"/>
      <c r="I210" s="30" t="str">
        <f t="shared" si="15"/>
        <v/>
      </c>
      <c r="J210" s="38" t="str">
        <f t="shared" si="16"/>
        <v/>
      </c>
      <c r="K210" s="30" t="str">
        <f t="shared" si="17"/>
        <v/>
      </c>
      <c r="L210" s="30" t="str">
        <f t="shared" si="18"/>
        <v/>
      </c>
      <c r="M210" s="30" t="str">
        <f t="shared" si="19"/>
        <v/>
      </c>
    </row>
    <row r="211" spans="1:13" x14ac:dyDescent="0.2">
      <c r="A211" s="35"/>
      <c r="B211" s="21"/>
      <c r="C211" s="18"/>
      <c r="D211" s="20"/>
      <c r="E211" s="20"/>
      <c r="F211" s="21"/>
      <c r="G211" s="21"/>
      <c r="H211" s="18"/>
      <c r="I211" s="30" t="str">
        <f t="shared" si="15"/>
        <v/>
      </c>
      <c r="J211" s="38" t="str">
        <f t="shared" si="16"/>
        <v/>
      </c>
      <c r="K211" s="30" t="str">
        <f t="shared" si="17"/>
        <v/>
      </c>
      <c r="L211" s="30" t="str">
        <f t="shared" si="18"/>
        <v/>
      </c>
      <c r="M211" s="30" t="str">
        <f t="shared" si="19"/>
        <v/>
      </c>
    </row>
    <row r="212" spans="1:13" x14ac:dyDescent="0.2">
      <c r="A212" s="35"/>
      <c r="B212" s="21"/>
      <c r="C212" s="18"/>
      <c r="D212" s="20"/>
      <c r="E212" s="20"/>
      <c r="F212" s="21"/>
      <c r="G212" s="21"/>
      <c r="H212" s="18"/>
      <c r="I212" s="30" t="str">
        <f t="shared" si="15"/>
        <v/>
      </c>
      <c r="J212" s="38" t="str">
        <f t="shared" si="16"/>
        <v/>
      </c>
      <c r="K212" s="30" t="str">
        <f t="shared" si="17"/>
        <v/>
      </c>
      <c r="L212" s="30" t="str">
        <f t="shared" si="18"/>
        <v/>
      </c>
      <c r="M212" s="30" t="str">
        <f t="shared" si="19"/>
        <v/>
      </c>
    </row>
    <row r="213" spans="1:13" x14ac:dyDescent="0.2">
      <c r="A213" s="35"/>
      <c r="B213" s="21"/>
      <c r="C213" s="18"/>
      <c r="D213" s="20"/>
      <c r="E213" s="20"/>
      <c r="F213" s="21"/>
      <c r="G213" s="21"/>
      <c r="H213" s="18"/>
      <c r="I213" s="30" t="str">
        <f t="shared" si="15"/>
        <v/>
      </c>
      <c r="J213" s="38" t="str">
        <f t="shared" si="16"/>
        <v/>
      </c>
      <c r="K213" s="30" t="str">
        <f t="shared" si="17"/>
        <v/>
      </c>
      <c r="L213" s="30" t="str">
        <f t="shared" si="18"/>
        <v/>
      </c>
      <c r="M213" s="30" t="str">
        <f t="shared" si="19"/>
        <v/>
      </c>
    </row>
    <row r="214" spans="1:13" x14ac:dyDescent="0.2">
      <c r="A214" s="35"/>
      <c r="B214" s="21"/>
      <c r="C214" s="18"/>
      <c r="D214" s="20"/>
      <c r="E214" s="20"/>
      <c r="F214" s="21"/>
      <c r="G214" s="21"/>
      <c r="H214" s="18"/>
      <c r="I214" s="30" t="str">
        <f t="shared" si="15"/>
        <v/>
      </c>
      <c r="J214" s="38" t="str">
        <f t="shared" si="16"/>
        <v/>
      </c>
      <c r="K214" s="30" t="str">
        <f t="shared" si="17"/>
        <v/>
      </c>
      <c r="L214" s="30" t="str">
        <f t="shared" si="18"/>
        <v/>
      </c>
      <c r="M214" s="30" t="str">
        <f t="shared" si="19"/>
        <v/>
      </c>
    </row>
    <row r="215" spans="1:13" x14ac:dyDescent="0.2">
      <c r="A215" s="35"/>
      <c r="B215" s="21"/>
      <c r="C215" s="18"/>
      <c r="D215" s="20"/>
      <c r="E215" s="20"/>
      <c r="F215" s="21"/>
      <c r="G215" s="21"/>
      <c r="H215" s="18"/>
      <c r="I215" s="30" t="str">
        <f t="shared" si="15"/>
        <v/>
      </c>
      <c r="J215" s="38" t="str">
        <f t="shared" si="16"/>
        <v/>
      </c>
      <c r="K215" s="30" t="str">
        <f t="shared" si="17"/>
        <v/>
      </c>
      <c r="L215" s="30" t="str">
        <f t="shared" si="18"/>
        <v/>
      </c>
      <c r="M215" s="30" t="str">
        <f t="shared" si="19"/>
        <v/>
      </c>
    </row>
    <row r="216" spans="1:13" x14ac:dyDescent="0.2">
      <c r="A216" s="35"/>
      <c r="B216" s="21"/>
      <c r="C216" s="18"/>
      <c r="D216" s="20"/>
      <c r="E216" s="20"/>
      <c r="F216" s="21"/>
      <c r="G216" s="21"/>
      <c r="H216" s="18"/>
      <c r="I216" s="30" t="str">
        <f t="shared" si="15"/>
        <v/>
      </c>
      <c r="J216" s="38" t="str">
        <f t="shared" si="16"/>
        <v/>
      </c>
      <c r="K216" s="30" t="str">
        <f t="shared" si="17"/>
        <v/>
      </c>
      <c r="L216" s="30" t="str">
        <f t="shared" si="18"/>
        <v/>
      </c>
      <c r="M216" s="30" t="str">
        <f t="shared" si="19"/>
        <v/>
      </c>
    </row>
    <row r="217" spans="1:13" x14ac:dyDescent="0.2">
      <c r="A217" s="35"/>
      <c r="B217" s="21"/>
      <c r="C217" s="18"/>
      <c r="D217" s="20"/>
      <c r="E217" s="20"/>
      <c r="F217" s="21"/>
      <c r="G217" s="21"/>
      <c r="H217" s="18"/>
      <c r="I217" s="30" t="str">
        <f t="shared" si="15"/>
        <v/>
      </c>
      <c r="J217" s="38" t="str">
        <f t="shared" si="16"/>
        <v/>
      </c>
      <c r="K217" s="30" t="str">
        <f t="shared" si="17"/>
        <v/>
      </c>
      <c r="L217" s="30" t="str">
        <f t="shared" si="18"/>
        <v/>
      </c>
      <c r="M217" s="30" t="str">
        <f t="shared" si="19"/>
        <v/>
      </c>
    </row>
    <row r="218" spans="1:13" x14ac:dyDescent="0.2">
      <c r="A218" s="35"/>
      <c r="B218" s="21"/>
      <c r="C218" s="18"/>
      <c r="D218" s="20"/>
      <c r="E218" s="20"/>
      <c r="F218" s="21"/>
      <c r="G218" s="21"/>
      <c r="H218" s="18"/>
      <c r="I218" s="30" t="str">
        <f t="shared" si="15"/>
        <v/>
      </c>
      <c r="J218" s="38" t="str">
        <f t="shared" si="16"/>
        <v/>
      </c>
      <c r="K218" s="30" t="str">
        <f t="shared" si="17"/>
        <v/>
      </c>
      <c r="L218" s="30" t="str">
        <f t="shared" si="18"/>
        <v/>
      </c>
      <c r="M218" s="30" t="str">
        <f t="shared" si="19"/>
        <v/>
      </c>
    </row>
    <row r="219" spans="1:13" x14ac:dyDescent="0.2">
      <c r="A219" s="35"/>
      <c r="B219" s="21"/>
      <c r="C219" s="18"/>
      <c r="D219" s="20"/>
      <c r="E219" s="20"/>
      <c r="F219" s="21"/>
      <c r="G219" s="21"/>
      <c r="H219" s="18"/>
      <c r="I219" s="30" t="str">
        <f t="shared" si="15"/>
        <v/>
      </c>
      <c r="J219" s="38" t="str">
        <f t="shared" si="16"/>
        <v/>
      </c>
      <c r="K219" s="30" t="str">
        <f t="shared" si="17"/>
        <v/>
      </c>
      <c r="L219" s="30" t="str">
        <f t="shared" si="18"/>
        <v/>
      </c>
      <c r="M219" s="30" t="str">
        <f t="shared" si="19"/>
        <v/>
      </c>
    </row>
    <row r="220" spans="1:13" x14ac:dyDescent="0.2">
      <c r="A220" s="35"/>
      <c r="B220" s="21"/>
      <c r="C220" s="18"/>
      <c r="D220" s="20"/>
      <c r="E220" s="20"/>
      <c r="F220" s="21"/>
      <c r="G220" s="21"/>
      <c r="H220" s="18"/>
      <c r="I220" s="30" t="str">
        <f t="shared" si="15"/>
        <v/>
      </c>
      <c r="J220" s="38" t="str">
        <f t="shared" si="16"/>
        <v/>
      </c>
      <c r="K220" s="30" t="str">
        <f t="shared" si="17"/>
        <v/>
      </c>
      <c r="L220" s="30" t="str">
        <f t="shared" si="18"/>
        <v/>
      </c>
      <c r="M220" s="30" t="str">
        <f t="shared" si="19"/>
        <v/>
      </c>
    </row>
    <row r="221" spans="1:13" x14ac:dyDescent="0.2">
      <c r="A221" s="35"/>
      <c r="B221" s="21"/>
      <c r="C221" s="18"/>
      <c r="D221" s="20"/>
      <c r="E221" s="20"/>
      <c r="F221" s="21"/>
      <c r="G221" s="21"/>
      <c r="H221" s="18"/>
      <c r="I221" s="30" t="str">
        <f t="shared" si="15"/>
        <v/>
      </c>
      <c r="J221" s="38" t="str">
        <f t="shared" si="16"/>
        <v/>
      </c>
      <c r="K221" s="30" t="str">
        <f t="shared" si="17"/>
        <v/>
      </c>
      <c r="L221" s="30" t="str">
        <f t="shared" si="18"/>
        <v/>
      </c>
      <c r="M221" s="30" t="str">
        <f t="shared" si="19"/>
        <v/>
      </c>
    </row>
    <row r="222" spans="1:13" x14ac:dyDescent="0.2">
      <c r="A222" s="35"/>
      <c r="B222" s="21"/>
      <c r="C222" s="18"/>
      <c r="D222" s="20"/>
      <c r="E222" s="20"/>
      <c r="F222" s="21"/>
      <c r="G222" s="21"/>
      <c r="H222" s="18"/>
      <c r="I222" s="30" t="str">
        <f t="shared" si="15"/>
        <v/>
      </c>
      <c r="J222" s="38" t="str">
        <f t="shared" si="16"/>
        <v/>
      </c>
      <c r="K222" s="30" t="str">
        <f t="shared" si="17"/>
        <v/>
      </c>
      <c r="L222" s="30" t="str">
        <f t="shared" si="18"/>
        <v/>
      </c>
      <c r="M222" s="30" t="str">
        <f t="shared" si="19"/>
        <v/>
      </c>
    </row>
    <row r="223" spans="1:13" x14ac:dyDescent="0.2">
      <c r="A223" s="35"/>
      <c r="B223" s="21"/>
      <c r="C223" s="18"/>
      <c r="D223" s="20"/>
      <c r="E223" s="20"/>
      <c r="F223" s="21"/>
      <c r="G223" s="21"/>
      <c r="H223" s="18"/>
      <c r="I223" s="30" t="str">
        <f t="shared" si="15"/>
        <v/>
      </c>
      <c r="J223" s="38" t="str">
        <f t="shared" si="16"/>
        <v/>
      </c>
      <c r="K223" s="30" t="str">
        <f t="shared" si="17"/>
        <v/>
      </c>
      <c r="L223" s="30" t="str">
        <f t="shared" si="18"/>
        <v/>
      </c>
      <c r="M223" s="30" t="str">
        <f t="shared" si="19"/>
        <v/>
      </c>
    </row>
    <row r="224" spans="1:13" x14ac:dyDescent="0.2">
      <c r="A224" s="35"/>
      <c r="B224" s="21"/>
      <c r="C224" s="18"/>
      <c r="D224" s="20"/>
      <c r="E224" s="20"/>
      <c r="F224" s="21"/>
      <c r="G224" s="21"/>
      <c r="H224" s="18"/>
      <c r="I224" s="30" t="str">
        <f t="shared" si="15"/>
        <v/>
      </c>
      <c r="J224" s="38" t="str">
        <f t="shared" si="16"/>
        <v/>
      </c>
      <c r="K224" s="30" t="str">
        <f t="shared" si="17"/>
        <v/>
      </c>
      <c r="L224" s="30" t="str">
        <f t="shared" si="18"/>
        <v/>
      </c>
      <c r="M224" s="30" t="str">
        <f t="shared" si="19"/>
        <v/>
      </c>
    </row>
    <row r="225" spans="1:13" x14ac:dyDescent="0.2">
      <c r="A225" s="35"/>
      <c r="B225" s="21"/>
      <c r="C225" s="18"/>
      <c r="D225" s="20"/>
      <c r="E225" s="20"/>
      <c r="F225" s="21"/>
      <c r="G225" s="21"/>
      <c r="H225" s="18"/>
      <c r="I225" s="30" t="str">
        <f t="shared" si="15"/>
        <v/>
      </c>
      <c r="J225" s="38" t="str">
        <f t="shared" si="16"/>
        <v/>
      </c>
      <c r="K225" s="30" t="str">
        <f t="shared" si="17"/>
        <v/>
      </c>
      <c r="L225" s="30" t="str">
        <f t="shared" si="18"/>
        <v/>
      </c>
      <c r="M225" s="30" t="str">
        <f t="shared" si="19"/>
        <v/>
      </c>
    </row>
    <row r="226" spans="1:13" x14ac:dyDescent="0.2">
      <c r="A226" s="35"/>
      <c r="B226" s="21"/>
      <c r="C226" s="18"/>
      <c r="D226" s="20"/>
      <c r="E226" s="20"/>
      <c r="F226" s="21"/>
      <c r="G226" s="21"/>
      <c r="H226" s="18"/>
      <c r="I226" s="30" t="str">
        <f t="shared" si="15"/>
        <v/>
      </c>
      <c r="J226" s="38" t="str">
        <f t="shared" si="16"/>
        <v/>
      </c>
      <c r="K226" s="30" t="str">
        <f t="shared" si="17"/>
        <v/>
      </c>
      <c r="L226" s="30" t="str">
        <f t="shared" si="18"/>
        <v/>
      </c>
      <c r="M226" s="30" t="str">
        <f t="shared" si="19"/>
        <v/>
      </c>
    </row>
    <row r="227" spans="1:13" x14ac:dyDescent="0.2">
      <c r="A227" s="35"/>
      <c r="B227" s="21"/>
      <c r="C227" s="18"/>
      <c r="D227" s="20"/>
      <c r="E227" s="20"/>
      <c r="F227" s="21"/>
      <c r="G227" s="21"/>
      <c r="H227" s="18"/>
      <c r="I227" s="30" t="str">
        <f t="shared" si="15"/>
        <v/>
      </c>
      <c r="J227" s="38" t="str">
        <f t="shared" si="16"/>
        <v/>
      </c>
      <c r="K227" s="30" t="str">
        <f t="shared" si="17"/>
        <v/>
      </c>
      <c r="L227" s="30" t="str">
        <f t="shared" si="18"/>
        <v/>
      </c>
      <c r="M227" s="30" t="str">
        <f t="shared" si="19"/>
        <v/>
      </c>
    </row>
    <row r="228" spans="1:13" x14ac:dyDescent="0.2">
      <c r="A228" s="35"/>
      <c r="B228" s="21"/>
      <c r="C228" s="18"/>
      <c r="D228" s="20"/>
      <c r="E228" s="20"/>
      <c r="F228" s="21"/>
      <c r="G228" s="21"/>
      <c r="H228" s="18"/>
      <c r="I228" s="30" t="str">
        <f t="shared" si="15"/>
        <v/>
      </c>
      <c r="J228" s="38" t="str">
        <f t="shared" si="16"/>
        <v/>
      </c>
      <c r="K228" s="30" t="str">
        <f t="shared" si="17"/>
        <v/>
      </c>
      <c r="L228" s="30" t="str">
        <f t="shared" si="18"/>
        <v/>
      </c>
      <c r="M228" s="30" t="str">
        <f t="shared" si="19"/>
        <v/>
      </c>
    </row>
    <row r="229" spans="1:13" x14ac:dyDescent="0.2">
      <c r="A229" s="35"/>
      <c r="B229" s="21"/>
      <c r="C229" s="18"/>
      <c r="D229" s="20"/>
      <c r="E229" s="20"/>
      <c r="F229" s="21"/>
      <c r="G229" s="21"/>
      <c r="H229" s="18"/>
      <c r="I229" s="30" t="str">
        <f t="shared" si="15"/>
        <v/>
      </c>
      <c r="J229" s="38" t="str">
        <f t="shared" si="16"/>
        <v/>
      </c>
      <c r="K229" s="30" t="str">
        <f t="shared" si="17"/>
        <v/>
      </c>
      <c r="L229" s="30" t="str">
        <f t="shared" si="18"/>
        <v/>
      </c>
      <c r="M229" s="30" t="str">
        <f t="shared" si="19"/>
        <v/>
      </c>
    </row>
    <row r="230" spans="1:13" x14ac:dyDescent="0.2">
      <c r="A230" s="35"/>
      <c r="B230" s="21"/>
      <c r="C230" s="18"/>
      <c r="D230" s="20"/>
      <c r="E230" s="20"/>
      <c r="F230" s="21"/>
      <c r="G230" s="21"/>
      <c r="H230" s="18"/>
      <c r="I230" s="30" t="str">
        <f t="shared" si="15"/>
        <v/>
      </c>
      <c r="J230" s="38" t="str">
        <f t="shared" si="16"/>
        <v/>
      </c>
      <c r="K230" s="30" t="str">
        <f t="shared" si="17"/>
        <v/>
      </c>
      <c r="L230" s="30" t="str">
        <f t="shared" si="18"/>
        <v/>
      </c>
      <c r="M230" s="30" t="str">
        <f t="shared" si="19"/>
        <v/>
      </c>
    </row>
    <row r="231" spans="1:13" x14ac:dyDescent="0.2">
      <c r="A231" s="35"/>
      <c r="B231" s="21"/>
      <c r="C231" s="18"/>
      <c r="D231" s="20"/>
      <c r="E231" s="20"/>
      <c r="F231" s="21"/>
      <c r="G231" s="21"/>
      <c r="H231" s="18"/>
      <c r="I231" s="30" t="str">
        <f t="shared" si="15"/>
        <v/>
      </c>
      <c r="J231" s="38" t="str">
        <f t="shared" si="16"/>
        <v/>
      </c>
      <c r="K231" s="30" t="str">
        <f t="shared" si="17"/>
        <v/>
      </c>
      <c r="L231" s="30" t="str">
        <f t="shared" si="18"/>
        <v/>
      </c>
      <c r="M231" s="30" t="str">
        <f t="shared" si="19"/>
        <v/>
      </c>
    </row>
    <row r="232" spans="1:13" x14ac:dyDescent="0.2">
      <c r="A232" s="35"/>
      <c r="B232" s="21"/>
      <c r="C232" s="18"/>
      <c r="D232" s="20"/>
      <c r="E232" s="20"/>
      <c r="F232" s="21"/>
      <c r="G232" s="21"/>
      <c r="H232" s="18"/>
      <c r="I232" s="30" t="str">
        <f t="shared" si="15"/>
        <v/>
      </c>
      <c r="J232" s="38" t="str">
        <f t="shared" si="16"/>
        <v/>
      </c>
      <c r="K232" s="30" t="str">
        <f t="shared" si="17"/>
        <v/>
      </c>
      <c r="L232" s="30" t="str">
        <f t="shared" si="18"/>
        <v/>
      </c>
      <c r="M232" s="30" t="str">
        <f t="shared" si="19"/>
        <v/>
      </c>
    </row>
    <row r="233" spans="1:13" x14ac:dyDescent="0.2">
      <c r="A233" s="35"/>
      <c r="B233" s="21"/>
      <c r="C233" s="18"/>
      <c r="D233" s="20"/>
      <c r="E233" s="20"/>
      <c r="F233" s="21"/>
      <c r="G233" s="21"/>
      <c r="H233" s="18"/>
      <c r="I233" s="30" t="str">
        <f t="shared" si="15"/>
        <v/>
      </c>
      <c r="J233" s="38" t="str">
        <f t="shared" si="16"/>
        <v/>
      </c>
      <c r="K233" s="30" t="str">
        <f t="shared" si="17"/>
        <v/>
      </c>
      <c r="L233" s="30" t="str">
        <f t="shared" si="18"/>
        <v/>
      </c>
      <c r="M233" s="30" t="str">
        <f t="shared" si="19"/>
        <v/>
      </c>
    </row>
    <row r="234" spans="1:13" x14ac:dyDescent="0.2">
      <c r="A234" s="35"/>
      <c r="B234" s="21"/>
      <c r="C234" s="18"/>
      <c r="D234" s="20"/>
      <c r="E234" s="20"/>
      <c r="F234" s="21"/>
      <c r="G234" s="21"/>
      <c r="H234" s="18"/>
      <c r="I234" s="30" t="str">
        <f t="shared" si="15"/>
        <v/>
      </c>
      <c r="J234" s="38" t="str">
        <f t="shared" si="16"/>
        <v/>
      </c>
      <c r="K234" s="30" t="str">
        <f t="shared" si="17"/>
        <v/>
      </c>
      <c r="L234" s="30" t="str">
        <f t="shared" si="18"/>
        <v/>
      </c>
      <c r="M234" s="30" t="str">
        <f t="shared" si="19"/>
        <v/>
      </c>
    </row>
    <row r="235" spans="1:13" x14ac:dyDescent="0.2">
      <c r="A235" s="35"/>
      <c r="B235" s="21"/>
      <c r="C235" s="18"/>
      <c r="D235" s="20"/>
      <c r="E235" s="20"/>
      <c r="F235" s="21"/>
      <c r="G235" s="21"/>
      <c r="H235" s="18"/>
      <c r="I235" s="30" t="str">
        <f t="shared" si="15"/>
        <v/>
      </c>
      <c r="J235" s="38" t="str">
        <f t="shared" si="16"/>
        <v/>
      </c>
      <c r="K235" s="30" t="str">
        <f t="shared" si="17"/>
        <v/>
      </c>
      <c r="L235" s="30" t="str">
        <f t="shared" si="18"/>
        <v/>
      </c>
      <c r="M235" s="30" t="str">
        <f t="shared" si="19"/>
        <v/>
      </c>
    </row>
    <row r="236" spans="1:13" x14ac:dyDescent="0.2">
      <c r="A236" s="35"/>
      <c r="B236" s="21"/>
      <c r="C236" s="18"/>
      <c r="D236" s="20"/>
      <c r="E236" s="20"/>
      <c r="F236" s="21"/>
      <c r="G236" s="21"/>
      <c r="H236" s="18"/>
      <c r="I236" s="30" t="str">
        <f t="shared" si="15"/>
        <v/>
      </c>
      <c r="J236" s="38" t="str">
        <f t="shared" si="16"/>
        <v/>
      </c>
      <c r="K236" s="30" t="str">
        <f t="shared" si="17"/>
        <v/>
      </c>
      <c r="L236" s="30" t="str">
        <f t="shared" si="18"/>
        <v/>
      </c>
      <c r="M236" s="30" t="str">
        <f t="shared" si="19"/>
        <v/>
      </c>
    </row>
    <row r="237" spans="1:13" x14ac:dyDescent="0.2">
      <c r="A237" s="35"/>
      <c r="B237" s="21"/>
      <c r="C237" s="18"/>
      <c r="D237" s="20"/>
      <c r="E237" s="20"/>
      <c r="F237" s="21"/>
      <c r="G237" s="21"/>
      <c r="H237" s="18"/>
      <c r="I237" s="30" t="str">
        <f t="shared" si="15"/>
        <v/>
      </c>
      <c r="J237" s="38" t="str">
        <f t="shared" si="16"/>
        <v/>
      </c>
      <c r="K237" s="30" t="str">
        <f t="shared" si="17"/>
        <v/>
      </c>
      <c r="L237" s="30" t="str">
        <f t="shared" si="18"/>
        <v/>
      </c>
      <c r="M237" s="30" t="str">
        <f t="shared" si="19"/>
        <v/>
      </c>
    </row>
    <row r="238" spans="1:13" x14ac:dyDescent="0.2">
      <c r="A238" s="35"/>
      <c r="B238" s="21"/>
      <c r="C238" s="18"/>
      <c r="D238" s="20"/>
      <c r="E238" s="20"/>
      <c r="F238" s="21"/>
      <c r="G238" s="21"/>
      <c r="H238" s="18"/>
      <c r="I238" s="30" t="str">
        <f t="shared" si="15"/>
        <v/>
      </c>
      <c r="J238" s="38" t="str">
        <f t="shared" si="16"/>
        <v/>
      </c>
      <c r="K238" s="30" t="str">
        <f t="shared" si="17"/>
        <v/>
      </c>
      <c r="L238" s="30" t="str">
        <f t="shared" si="18"/>
        <v/>
      </c>
      <c r="M238" s="30" t="str">
        <f t="shared" si="19"/>
        <v/>
      </c>
    </row>
    <row r="239" spans="1:13" x14ac:dyDescent="0.2">
      <c r="A239" s="35"/>
      <c r="B239" s="21"/>
      <c r="C239" s="18"/>
      <c r="D239" s="20"/>
      <c r="E239" s="20"/>
      <c r="F239" s="21"/>
      <c r="G239" s="21"/>
      <c r="H239" s="18"/>
      <c r="I239" s="30" t="str">
        <f t="shared" si="15"/>
        <v/>
      </c>
      <c r="J239" s="38" t="str">
        <f t="shared" si="16"/>
        <v/>
      </c>
      <c r="K239" s="30" t="str">
        <f t="shared" si="17"/>
        <v/>
      </c>
      <c r="L239" s="30" t="str">
        <f t="shared" si="18"/>
        <v/>
      </c>
      <c r="M239" s="30" t="str">
        <f t="shared" si="19"/>
        <v/>
      </c>
    </row>
    <row r="240" spans="1:13" x14ac:dyDescent="0.2">
      <c r="A240" s="35"/>
      <c r="B240" s="21"/>
      <c r="C240" s="18"/>
      <c r="D240" s="20"/>
      <c r="E240" s="20"/>
      <c r="F240" s="21"/>
      <c r="G240" s="21"/>
      <c r="H240" s="18"/>
      <c r="I240" s="30" t="str">
        <f t="shared" si="15"/>
        <v/>
      </c>
      <c r="J240" s="38" t="str">
        <f t="shared" si="16"/>
        <v/>
      </c>
      <c r="K240" s="30" t="str">
        <f t="shared" si="17"/>
        <v/>
      </c>
      <c r="L240" s="30" t="str">
        <f t="shared" si="18"/>
        <v/>
      </c>
      <c r="M240" s="30" t="str">
        <f t="shared" si="19"/>
        <v/>
      </c>
    </row>
    <row r="241" spans="1:13" x14ac:dyDescent="0.2">
      <c r="A241" s="35"/>
      <c r="B241" s="21"/>
      <c r="C241" s="18"/>
      <c r="D241" s="20"/>
      <c r="E241" s="20"/>
      <c r="F241" s="21"/>
      <c r="G241" s="21"/>
      <c r="H241" s="18"/>
      <c r="I241" s="30" t="str">
        <f t="shared" si="15"/>
        <v/>
      </c>
      <c r="J241" s="38" t="str">
        <f t="shared" si="16"/>
        <v/>
      </c>
      <c r="K241" s="30" t="str">
        <f t="shared" si="17"/>
        <v/>
      </c>
      <c r="L241" s="30" t="str">
        <f t="shared" si="18"/>
        <v/>
      </c>
      <c r="M241" s="30" t="str">
        <f t="shared" si="19"/>
        <v/>
      </c>
    </row>
    <row r="242" spans="1:13" x14ac:dyDescent="0.2">
      <c r="A242" s="35"/>
      <c r="B242" s="21"/>
      <c r="C242" s="18"/>
      <c r="D242" s="20"/>
      <c r="E242" s="20"/>
      <c r="F242" s="21"/>
      <c r="G242" s="21"/>
      <c r="H242" s="18"/>
      <c r="I242" s="30" t="str">
        <f t="shared" si="15"/>
        <v/>
      </c>
      <c r="J242" s="38" t="str">
        <f t="shared" si="16"/>
        <v/>
      </c>
      <c r="K242" s="30" t="str">
        <f t="shared" si="17"/>
        <v/>
      </c>
      <c r="L242" s="30" t="str">
        <f t="shared" si="18"/>
        <v/>
      </c>
      <c r="M242" s="30" t="str">
        <f t="shared" si="19"/>
        <v/>
      </c>
    </row>
    <row r="243" spans="1:13" x14ac:dyDescent="0.2">
      <c r="A243" s="35"/>
      <c r="B243" s="21"/>
      <c r="C243" s="18"/>
      <c r="D243" s="20"/>
      <c r="E243" s="20"/>
      <c r="F243" s="21"/>
      <c r="G243" s="21"/>
      <c r="H243" s="18"/>
      <c r="I243" s="30" t="str">
        <f t="shared" si="15"/>
        <v/>
      </c>
      <c r="J243" s="38" t="str">
        <f t="shared" si="16"/>
        <v/>
      </c>
      <c r="K243" s="30" t="str">
        <f t="shared" si="17"/>
        <v/>
      </c>
      <c r="L243" s="30" t="str">
        <f t="shared" si="18"/>
        <v/>
      </c>
      <c r="M243" s="30" t="str">
        <f t="shared" si="19"/>
        <v/>
      </c>
    </row>
    <row r="244" spans="1:13" x14ac:dyDescent="0.2">
      <c r="A244" s="35"/>
      <c r="B244" s="21"/>
      <c r="C244" s="18"/>
      <c r="D244" s="20"/>
      <c r="E244" s="20"/>
      <c r="F244" s="21"/>
      <c r="G244" s="21"/>
      <c r="H244" s="18"/>
      <c r="I244" s="30" t="str">
        <f t="shared" si="15"/>
        <v/>
      </c>
      <c r="J244" s="38" t="str">
        <f t="shared" si="16"/>
        <v/>
      </c>
      <c r="K244" s="30" t="str">
        <f t="shared" si="17"/>
        <v/>
      </c>
      <c r="L244" s="30" t="str">
        <f t="shared" si="18"/>
        <v/>
      </c>
      <c r="M244" s="30" t="str">
        <f t="shared" si="19"/>
        <v/>
      </c>
    </row>
    <row r="245" spans="1:13" x14ac:dyDescent="0.2">
      <c r="A245" s="35"/>
      <c r="B245" s="21"/>
      <c r="C245" s="18"/>
      <c r="D245" s="20"/>
      <c r="E245" s="20"/>
      <c r="F245" s="21"/>
      <c r="G245" s="21"/>
      <c r="H245" s="18"/>
      <c r="I245" s="30" t="str">
        <f t="shared" si="15"/>
        <v/>
      </c>
      <c r="J245" s="38" t="str">
        <f t="shared" si="16"/>
        <v/>
      </c>
      <c r="K245" s="30" t="str">
        <f t="shared" si="17"/>
        <v/>
      </c>
      <c r="L245" s="30" t="str">
        <f t="shared" si="18"/>
        <v/>
      </c>
      <c r="M245" s="30" t="str">
        <f t="shared" si="19"/>
        <v/>
      </c>
    </row>
    <row r="246" spans="1:13" x14ac:dyDescent="0.2">
      <c r="A246" s="35"/>
      <c r="B246" s="21"/>
      <c r="C246" s="18"/>
      <c r="D246" s="20"/>
      <c r="E246" s="20"/>
      <c r="F246" s="21"/>
      <c r="G246" s="21"/>
      <c r="H246" s="18"/>
      <c r="I246" s="30" t="str">
        <f t="shared" si="15"/>
        <v/>
      </c>
      <c r="J246" s="38" t="str">
        <f t="shared" si="16"/>
        <v/>
      </c>
      <c r="K246" s="30" t="str">
        <f t="shared" si="17"/>
        <v/>
      </c>
      <c r="L246" s="30" t="str">
        <f t="shared" si="18"/>
        <v/>
      </c>
      <c r="M246" s="30" t="str">
        <f t="shared" si="19"/>
        <v/>
      </c>
    </row>
    <row r="247" spans="1:13" x14ac:dyDescent="0.2">
      <c r="A247" s="35"/>
      <c r="B247" s="21"/>
      <c r="C247" s="18"/>
      <c r="D247" s="20"/>
      <c r="E247" s="20"/>
      <c r="F247" s="21"/>
      <c r="G247" s="21"/>
      <c r="H247" s="18"/>
      <c r="I247" s="30" t="str">
        <f t="shared" si="15"/>
        <v/>
      </c>
      <c r="J247" s="38" t="str">
        <f t="shared" si="16"/>
        <v/>
      </c>
      <c r="K247" s="30" t="str">
        <f t="shared" si="17"/>
        <v/>
      </c>
      <c r="L247" s="30" t="str">
        <f t="shared" si="18"/>
        <v/>
      </c>
      <c r="M247" s="30" t="str">
        <f t="shared" si="19"/>
        <v/>
      </c>
    </row>
    <row r="248" spans="1:13" x14ac:dyDescent="0.2">
      <c r="A248" s="35"/>
      <c r="B248" s="21"/>
      <c r="C248" s="18"/>
      <c r="D248" s="20"/>
      <c r="E248" s="20"/>
      <c r="F248" s="21"/>
      <c r="G248" s="21"/>
      <c r="H248" s="18"/>
      <c r="I248" s="30" t="str">
        <f t="shared" si="15"/>
        <v/>
      </c>
      <c r="J248" s="38" t="str">
        <f t="shared" si="16"/>
        <v/>
      </c>
      <c r="K248" s="30" t="str">
        <f t="shared" si="17"/>
        <v/>
      </c>
      <c r="L248" s="30" t="str">
        <f t="shared" si="18"/>
        <v/>
      </c>
      <c r="M248" s="30" t="str">
        <f t="shared" si="19"/>
        <v/>
      </c>
    </row>
    <row r="249" spans="1:13" x14ac:dyDescent="0.2">
      <c r="A249" s="35"/>
      <c r="B249" s="21"/>
      <c r="C249" s="18"/>
      <c r="D249" s="20"/>
      <c r="E249" s="20"/>
      <c r="F249" s="21"/>
      <c r="G249" s="21"/>
      <c r="H249" s="18"/>
      <c r="I249" s="30" t="str">
        <f t="shared" si="15"/>
        <v/>
      </c>
      <c r="J249" s="38" t="str">
        <f t="shared" si="16"/>
        <v/>
      </c>
      <c r="K249" s="30" t="str">
        <f t="shared" si="17"/>
        <v/>
      </c>
      <c r="L249" s="30" t="str">
        <f t="shared" si="18"/>
        <v/>
      </c>
      <c r="M249" s="30" t="str">
        <f t="shared" si="19"/>
        <v/>
      </c>
    </row>
    <row r="250" spans="1:13" x14ac:dyDescent="0.2">
      <c r="A250" s="35"/>
      <c r="B250" s="21"/>
      <c r="C250" s="18"/>
      <c r="D250" s="20"/>
      <c r="E250" s="20"/>
      <c r="F250" s="21"/>
      <c r="G250" s="21"/>
      <c r="H250" s="18"/>
      <c r="I250" s="30" t="str">
        <f t="shared" si="15"/>
        <v/>
      </c>
      <c r="J250" s="38" t="str">
        <f t="shared" si="16"/>
        <v/>
      </c>
      <c r="K250" s="30" t="str">
        <f t="shared" si="17"/>
        <v/>
      </c>
      <c r="L250" s="30" t="str">
        <f t="shared" si="18"/>
        <v/>
      </c>
      <c r="M250" s="30" t="str">
        <f t="shared" si="19"/>
        <v/>
      </c>
    </row>
    <row r="251" spans="1:13" x14ac:dyDescent="0.2">
      <c r="A251" s="35"/>
      <c r="B251" s="21"/>
      <c r="C251" s="18"/>
      <c r="D251" s="20"/>
      <c r="E251" s="20"/>
      <c r="F251" s="21"/>
      <c r="G251" s="21"/>
      <c r="H251" s="18"/>
      <c r="I251" s="30" t="str">
        <f t="shared" si="15"/>
        <v/>
      </c>
      <c r="J251" s="38" t="str">
        <f t="shared" si="16"/>
        <v/>
      </c>
      <c r="K251" s="30" t="str">
        <f t="shared" si="17"/>
        <v/>
      </c>
      <c r="L251" s="30" t="str">
        <f t="shared" si="18"/>
        <v/>
      </c>
      <c r="M251" s="30" t="str">
        <f t="shared" si="19"/>
        <v/>
      </c>
    </row>
    <row r="252" spans="1:13" x14ac:dyDescent="0.2">
      <c r="A252" s="35"/>
      <c r="B252" s="21"/>
      <c r="C252" s="18"/>
      <c r="D252" s="20"/>
      <c r="E252" s="20"/>
      <c r="F252" s="21"/>
      <c r="G252" s="21"/>
      <c r="H252" s="18"/>
      <c r="I252" s="30" t="str">
        <f t="shared" si="15"/>
        <v/>
      </c>
      <c r="J252" s="38" t="str">
        <f t="shared" si="16"/>
        <v/>
      </c>
      <c r="K252" s="30" t="str">
        <f t="shared" si="17"/>
        <v/>
      </c>
      <c r="L252" s="30" t="str">
        <f t="shared" si="18"/>
        <v/>
      </c>
      <c r="M252" s="30" t="str">
        <f t="shared" si="19"/>
        <v/>
      </c>
    </row>
    <row r="253" spans="1:13" x14ac:dyDescent="0.2">
      <c r="A253" s="35"/>
      <c r="B253" s="21"/>
      <c r="C253" s="18"/>
      <c r="D253" s="20"/>
      <c r="E253" s="20"/>
      <c r="F253" s="21"/>
      <c r="G253" s="21"/>
      <c r="H253" s="18"/>
      <c r="I253" s="30" t="str">
        <f t="shared" si="15"/>
        <v/>
      </c>
      <c r="J253" s="38" t="str">
        <f t="shared" si="16"/>
        <v/>
      </c>
      <c r="K253" s="30" t="str">
        <f t="shared" si="17"/>
        <v/>
      </c>
      <c r="L253" s="30" t="str">
        <f t="shared" si="18"/>
        <v/>
      </c>
      <c r="M253" s="30" t="str">
        <f t="shared" si="19"/>
        <v/>
      </c>
    </row>
    <row r="254" spans="1:13" x14ac:dyDescent="0.2">
      <c r="A254" s="35"/>
      <c r="B254" s="21"/>
      <c r="C254" s="18"/>
      <c r="D254" s="20"/>
      <c r="E254" s="20"/>
      <c r="F254" s="21"/>
      <c r="G254" s="21"/>
      <c r="H254" s="18"/>
      <c r="I254" s="30" t="str">
        <f t="shared" si="15"/>
        <v/>
      </c>
      <c r="J254" s="38" t="str">
        <f t="shared" si="16"/>
        <v/>
      </c>
      <c r="K254" s="30" t="str">
        <f t="shared" si="17"/>
        <v/>
      </c>
      <c r="L254" s="30" t="str">
        <f t="shared" si="18"/>
        <v/>
      </c>
      <c r="M254" s="30" t="str">
        <f t="shared" si="19"/>
        <v/>
      </c>
    </row>
    <row r="255" spans="1:13" x14ac:dyDescent="0.2">
      <c r="A255" s="35"/>
      <c r="B255" s="21"/>
      <c r="C255" s="18"/>
      <c r="D255" s="20"/>
      <c r="E255" s="20"/>
      <c r="F255" s="21"/>
      <c r="G255" s="21"/>
      <c r="H255" s="18"/>
      <c r="I255" s="30" t="str">
        <f t="shared" si="15"/>
        <v/>
      </c>
      <c r="J255" s="38" t="str">
        <f t="shared" si="16"/>
        <v/>
      </c>
      <c r="K255" s="30" t="str">
        <f t="shared" si="17"/>
        <v/>
      </c>
      <c r="L255" s="30" t="str">
        <f t="shared" si="18"/>
        <v/>
      </c>
      <c r="M255" s="30" t="str">
        <f t="shared" si="19"/>
        <v/>
      </c>
    </row>
    <row r="256" spans="1:13" x14ac:dyDescent="0.2">
      <c r="A256" s="35"/>
      <c r="B256" s="21"/>
      <c r="C256" s="18"/>
      <c r="D256" s="20"/>
      <c r="E256" s="20"/>
      <c r="F256" s="21"/>
      <c r="G256" s="21"/>
      <c r="H256" s="18"/>
      <c r="I256" s="30" t="str">
        <f t="shared" si="15"/>
        <v/>
      </c>
      <c r="J256" s="38" t="str">
        <f t="shared" si="16"/>
        <v/>
      </c>
      <c r="K256" s="30" t="str">
        <f t="shared" si="17"/>
        <v/>
      </c>
      <c r="L256" s="30" t="str">
        <f t="shared" si="18"/>
        <v/>
      </c>
      <c r="M256" s="30" t="str">
        <f t="shared" si="19"/>
        <v/>
      </c>
    </row>
    <row r="257" spans="1:13" x14ac:dyDescent="0.2">
      <c r="A257" s="35"/>
      <c r="B257" s="21"/>
      <c r="C257" s="18"/>
      <c r="D257" s="20"/>
      <c r="E257" s="20"/>
      <c r="F257" s="21"/>
      <c r="G257" s="21"/>
      <c r="H257" s="18"/>
      <c r="I257" s="30" t="str">
        <f t="shared" si="15"/>
        <v/>
      </c>
      <c r="J257" s="38" t="str">
        <f t="shared" si="16"/>
        <v/>
      </c>
      <c r="K257" s="30" t="str">
        <f t="shared" si="17"/>
        <v/>
      </c>
      <c r="L257" s="30" t="str">
        <f t="shared" si="18"/>
        <v/>
      </c>
      <c r="M257" s="30" t="str">
        <f t="shared" si="19"/>
        <v/>
      </c>
    </row>
    <row r="258" spans="1:13" x14ac:dyDescent="0.2">
      <c r="A258" s="35"/>
      <c r="B258" s="21"/>
      <c r="C258" s="18"/>
      <c r="D258" s="20"/>
      <c r="E258" s="20"/>
      <c r="F258" s="21"/>
      <c r="G258" s="21"/>
      <c r="H258" s="18"/>
      <c r="I258" s="30" t="str">
        <f t="shared" si="15"/>
        <v/>
      </c>
      <c r="J258" s="38" t="str">
        <f t="shared" si="16"/>
        <v/>
      </c>
      <c r="K258" s="30" t="str">
        <f t="shared" si="17"/>
        <v/>
      </c>
      <c r="L258" s="30" t="str">
        <f t="shared" si="18"/>
        <v/>
      </c>
      <c r="M258" s="30" t="str">
        <f t="shared" si="19"/>
        <v/>
      </c>
    </row>
    <row r="259" spans="1:13" x14ac:dyDescent="0.2">
      <c r="A259" s="35"/>
      <c r="B259" s="21"/>
      <c r="C259" s="18"/>
      <c r="D259" s="20"/>
      <c r="E259" s="20"/>
      <c r="F259" s="21"/>
      <c r="G259" s="21"/>
      <c r="H259" s="18"/>
      <c r="I259" s="30" t="str">
        <f t="shared" si="15"/>
        <v/>
      </c>
      <c r="J259" s="38" t="str">
        <f t="shared" si="16"/>
        <v/>
      </c>
      <c r="K259" s="30" t="str">
        <f t="shared" si="17"/>
        <v/>
      </c>
      <c r="L259" s="30" t="str">
        <f t="shared" si="18"/>
        <v/>
      </c>
      <c r="M259" s="30" t="str">
        <f t="shared" si="19"/>
        <v/>
      </c>
    </row>
    <row r="260" spans="1:13" x14ac:dyDescent="0.2">
      <c r="A260" s="35"/>
      <c r="B260" s="21"/>
      <c r="C260" s="18"/>
      <c r="D260" s="20"/>
      <c r="E260" s="20"/>
      <c r="F260" s="21"/>
      <c r="G260" s="21"/>
      <c r="H260" s="18"/>
      <c r="I260" s="30" t="str">
        <f t="shared" si="15"/>
        <v/>
      </c>
      <c r="J260" s="38" t="str">
        <f t="shared" si="16"/>
        <v/>
      </c>
      <c r="K260" s="30" t="str">
        <f t="shared" si="17"/>
        <v/>
      </c>
      <c r="L260" s="30" t="str">
        <f t="shared" si="18"/>
        <v/>
      </c>
      <c r="M260" s="30" t="str">
        <f t="shared" si="19"/>
        <v/>
      </c>
    </row>
    <row r="261" spans="1:13" x14ac:dyDescent="0.2">
      <c r="A261" s="35"/>
      <c r="B261" s="21"/>
      <c r="C261" s="18"/>
      <c r="D261" s="20"/>
      <c r="E261" s="20"/>
      <c r="F261" s="21"/>
      <c r="G261" s="21"/>
      <c r="H261" s="18"/>
      <c r="I261" s="30" t="str">
        <f t="shared" si="15"/>
        <v/>
      </c>
      <c r="J261" s="38" t="str">
        <f t="shared" si="16"/>
        <v/>
      </c>
      <c r="K261" s="30" t="str">
        <f t="shared" si="17"/>
        <v/>
      </c>
      <c r="L261" s="30" t="str">
        <f t="shared" si="18"/>
        <v/>
      </c>
      <c r="M261" s="30" t="str">
        <f t="shared" si="19"/>
        <v/>
      </c>
    </row>
    <row r="262" spans="1:13" x14ac:dyDescent="0.2">
      <c r="A262" s="35"/>
      <c r="B262" s="21"/>
      <c r="C262" s="18"/>
      <c r="D262" s="20"/>
      <c r="E262" s="20"/>
      <c r="F262" s="21"/>
      <c r="G262" s="21"/>
      <c r="H262" s="18"/>
      <c r="I262" s="30" t="str">
        <f t="shared" ref="I262:I325" si="20">IF(OR(D262="",E262=""),"",ROUND(MOD(E262-D262,1)*1440,0))</f>
        <v/>
      </c>
      <c r="J262" s="38" t="str">
        <f t="shared" ref="J262:J325" si="21">IF(F262="","",IFERROR(INDEX(LYDO_TEN,MATCH(F262,DS_LYDO,0)),"?"))</f>
        <v/>
      </c>
      <c r="K262" s="30" t="str">
        <f t="shared" ref="K262:K325" si="22">IF(F262="","",IFERROR(INDEX(LYDO_LOAI,MATCH(F262,DS_LYDO,0)),"?"))</f>
        <v/>
      </c>
      <c r="L262" s="30" t="str">
        <f t="shared" ref="L262:L325" si="23">IF(F262="","",IFERROR(INDEX(LYDO_BP,MATCH(F262,DS_LYDO,0)),"?"))</f>
        <v/>
      </c>
      <c r="M262" s="30" t="str">
        <f t="shared" ref="M262:M325" si="24">IF(I262="","",IF(MOD(I262,5)=0,1,0))</f>
        <v/>
      </c>
    </row>
    <row r="263" spans="1:13" x14ac:dyDescent="0.2">
      <c r="A263" s="35"/>
      <c r="B263" s="21"/>
      <c r="C263" s="18"/>
      <c r="D263" s="20"/>
      <c r="E263" s="20"/>
      <c r="F263" s="21"/>
      <c r="G263" s="21"/>
      <c r="H263" s="18"/>
      <c r="I263" s="30" t="str">
        <f t="shared" si="20"/>
        <v/>
      </c>
      <c r="J263" s="38" t="str">
        <f t="shared" si="21"/>
        <v/>
      </c>
      <c r="K263" s="30" t="str">
        <f t="shared" si="22"/>
        <v/>
      </c>
      <c r="L263" s="30" t="str">
        <f t="shared" si="23"/>
        <v/>
      </c>
      <c r="M263" s="30" t="str">
        <f t="shared" si="24"/>
        <v/>
      </c>
    </row>
    <row r="264" spans="1:13" x14ac:dyDescent="0.2">
      <c r="A264" s="35"/>
      <c r="B264" s="21"/>
      <c r="C264" s="18"/>
      <c r="D264" s="20"/>
      <c r="E264" s="20"/>
      <c r="F264" s="21"/>
      <c r="G264" s="21"/>
      <c r="H264" s="18"/>
      <c r="I264" s="30" t="str">
        <f t="shared" si="20"/>
        <v/>
      </c>
      <c r="J264" s="38" t="str">
        <f t="shared" si="21"/>
        <v/>
      </c>
      <c r="K264" s="30" t="str">
        <f t="shared" si="22"/>
        <v/>
      </c>
      <c r="L264" s="30" t="str">
        <f t="shared" si="23"/>
        <v/>
      </c>
      <c r="M264" s="30" t="str">
        <f t="shared" si="24"/>
        <v/>
      </c>
    </row>
    <row r="265" spans="1:13" x14ac:dyDescent="0.2">
      <c r="A265" s="35"/>
      <c r="B265" s="21"/>
      <c r="C265" s="18"/>
      <c r="D265" s="20"/>
      <c r="E265" s="20"/>
      <c r="F265" s="21"/>
      <c r="G265" s="21"/>
      <c r="H265" s="18"/>
      <c r="I265" s="30" t="str">
        <f t="shared" si="20"/>
        <v/>
      </c>
      <c r="J265" s="38" t="str">
        <f t="shared" si="21"/>
        <v/>
      </c>
      <c r="K265" s="30" t="str">
        <f t="shared" si="22"/>
        <v/>
      </c>
      <c r="L265" s="30" t="str">
        <f t="shared" si="23"/>
        <v/>
      </c>
      <c r="M265" s="30" t="str">
        <f t="shared" si="24"/>
        <v/>
      </c>
    </row>
    <row r="266" spans="1:13" x14ac:dyDescent="0.2">
      <c r="A266" s="35"/>
      <c r="B266" s="21"/>
      <c r="C266" s="18"/>
      <c r="D266" s="20"/>
      <c r="E266" s="20"/>
      <c r="F266" s="21"/>
      <c r="G266" s="21"/>
      <c r="H266" s="18"/>
      <c r="I266" s="30" t="str">
        <f t="shared" si="20"/>
        <v/>
      </c>
      <c r="J266" s="38" t="str">
        <f t="shared" si="21"/>
        <v/>
      </c>
      <c r="K266" s="30" t="str">
        <f t="shared" si="22"/>
        <v/>
      </c>
      <c r="L266" s="30" t="str">
        <f t="shared" si="23"/>
        <v/>
      </c>
      <c r="M266" s="30" t="str">
        <f t="shared" si="24"/>
        <v/>
      </c>
    </row>
    <row r="267" spans="1:13" x14ac:dyDescent="0.2">
      <c r="A267" s="35"/>
      <c r="B267" s="21"/>
      <c r="C267" s="18"/>
      <c r="D267" s="20"/>
      <c r="E267" s="20"/>
      <c r="F267" s="21"/>
      <c r="G267" s="21"/>
      <c r="H267" s="18"/>
      <c r="I267" s="30" t="str">
        <f t="shared" si="20"/>
        <v/>
      </c>
      <c r="J267" s="38" t="str">
        <f t="shared" si="21"/>
        <v/>
      </c>
      <c r="K267" s="30" t="str">
        <f t="shared" si="22"/>
        <v/>
      </c>
      <c r="L267" s="30" t="str">
        <f t="shared" si="23"/>
        <v/>
      </c>
      <c r="M267" s="30" t="str">
        <f t="shared" si="24"/>
        <v/>
      </c>
    </row>
    <row r="268" spans="1:13" x14ac:dyDescent="0.2">
      <c r="A268" s="35"/>
      <c r="B268" s="21"/>
      <c r="C268" s="18"/>
      <c r="D268" s="20"/>
      <c r="E268" s="20"/>
      <c r="F268" s="21"/>
      <c r="G268" s="21"/>
      <c r="H268" s="18"/>
      <c r="I268" s="30" t="str">
        <f t="shared" si="20"/>
        <v/>
      </c>
      <c r="J268" s="38" t="str">
        <f t="shared" si="21"/>
        <v/>
      </c>
      <c r="K268" s="30" t="str">
        <f t="shared" si="22"/>
        <v/>
      </c>
      <c r="L268" s="30" t="str">
        <f t="shared" si="23"/>
        <v/>
      </c>
      <c r="M268" s="30" t="str">
        <f t="shared" si="24"/>
        <v/>
      </c>
    </row>
    <row r="269" spans="1:13" x14ac:dyDescent="0.2">
      <c r="A269" s="35"/>
      <c r="B269" s="21"/>
      <c r="C269" s="18"/>
      <c r="D269" s="20"/>
      <c r="E269" s="20"/>
      <c r="F269" s="21"/>
      <c r="G269" s="21"/>
      <c r="H269" s="18"/>
      <c r="I269" s="30" t="str">
        <f t="shared" si="20"/>
        <v/>
      </c>
      <c r="J269" s="38" t="str">
        <f t="shared" si="21"/>
        <v/>
      </c>
      <c r="K269" s="30" t="str">
        <f t="shared" si="22"/>
        <v/>
      </c>
      <c r="L269" s="30" t="str">
        <f t="shared" si="23"/>
        <v/>
      </c>
      <c r="M269" s="30" t="str">
        <f t="shared" si="24"/>
        <v/>
      </c>
    </row>
    <row r="270" spans="1:13" x14ac:dyDescent="0.2">
      <c r="A270" s="35"/>
      <c r="B270" s="21"/>
      <c r="C270" s="18"/>
      <c r="D270" s="20"/>
      <c r="E270" s="20"/>
      <c r="F270" s="21"/>
      <c r="G270" s="21"/>
      <c r="H270" s="18"/>
      <c r="I270" s="30" t="str">
        <f t="shared" si="20"/>
        <v/>
      </c>
      <c r="J270" s="38" t="str">
        <f t="shared" si="21"/>
        <v/>
      </c>
      <c r="K270" s="30" t="str">
        <f t="shared" si="22"/>
        <v/>
      </c>
      <c r="L270" s="30" t="str">
        <f t="shared" si="23"/>
        <v/>
      </c>
      <c r="M270" s="30" t="str">
        <f t="shared" si="24"/>
        <v/>
      </c>
    </row>
    <row r="271" spans="1:13" x14ac:dyDescent="0.2">
      <c r="A271" s="35"/>
      <c r="B271" s="21"/>
      <c r="C271" s="18"/>
      <c r="D271" s="20"/>
      <c r="E271" s="20"/>
      <c r="F271" s="21"/>
      <c r="G271" s="21"/>
      <c r="H271" s="18"/>
      <c r="I271" s="30" t="str">
        <f t="shared" si="20"/>
        <v/>
      </c>
      <c r="J271" s="38" t="str">
        <f t="shared" si="21"/>
        <v/>
      </c>
      <c r="K271" s="30" t="str">
        <f t="shared" si="22"/>
        <v/>
      </c>
      <c r="L271" s="30" t="str">
        <f t="shared" si="23"/>
        <v/>
      </c>
      <c r="M271" s="30" t="str">
        <f t="shared" si="24"/>
        <v/>
      </c>
    </row>
    <row r="272" spans="1:13" x14ac:dyDescent="0.2">
      <c r="A272" s="35"/>
      <c r="B272" s="21"/>
      <c r="C272" s="18"/>
      <c r="D272" s="20"/>
      <c r="E272" s="20"/>
      <c r="F272" s="21"/>
      <c r="G272" s="21"/>
      <c r="H272" s="18"/>
      <c r="I272" s="30" t="str">
        <f t="shared" si="20"/>
        <v/>
      </c>
      <c r="J272" s="38" t="str">
        <f t="shared" si="21"/>
        <v/>
      </c>
      <c r="K272" s="30" t="str">
        <f t="shared" si="22"/>
        <v/>
      </c>
      <c r="L272" s="30" t="str">
        <f t="shared" si="23"/>
        <v/>
      </c>
      <c r="M272" s="30" t="str">
        <f t="shared" si="24"/>
        <v/>
      </c>
    </row>
    <row r="273" spans="1:13" x14ac:dyDescent="0.2">
      <c r="A273" s="35"/>
      <c r="B273" s="21"/>
      <c r="C273" s="18"/>
      <c r="D273" s="20"/>
      <c r="E273" s="20"/>
      <c r="F273" s="21"/>
      <c r="G273" s="21"/>
      <c r="H273" s="18"/>
      <c r="I273" s="30" t="str">
        <f t="shared" si="20"/>
        <v/>
      </c>
      <c r="J273" s="38" t="str">
        <f t="shared" si="21"/>
        <v/>
      </c>
      <c r="K273" s="30" t="str">
        <f t="shared" si="22"/>
        <v/>
      </c>
      <c r="L273" s="30" t="str">
        <f t="shared" si="23"/>
        <v/>
      </c>
      <c r="M273" s="30" t="str">
        <f t="shared" si="24"/>
        <v/>
      </c>
    </row>
    <row r="274" spans="1:13" x14ac:dyDescent="0.2">
      <c r="A274" s="35"/>
      <c r="B274" s="21"/>
      <c r="C274" s="18"/>
      <c r="D274" s="20"/>
      <c r="E274" s="20"/>
      <c r="F274" s="21"/>
      <c r="G274" s="21"/>
      <c r="H274" s="18"/>
      <c r="I274" s="30" t="str">
        <f t="shared" si="20"/>
        <v/>
      </c>
      <c r="J274" s="38" t="str">
        <f t="shared" si="21"/>
        <v/>
      </c>
      <c r="K274" s="30" t="str">
        <f t="shared" si="22"/>
        <v/>
      </c>
      <c r="L274" s="30" t="str">
        <f t="shared" si="23"/>
        <v/>
      </c>
      <c r="M274" s="30" t="str">
        <f t="shared" si="24"/>
        <v/>
      </c>
    </row>
    <row r="275" spans="1:13" x14ac:dyDescent="0.2">
      <c r="A275" s="35"/>
      <c r="B275" s="21"/>
      <c r="C275" s="18"/>
      <c r="D275" s="20"/>
      <c r="E275" s="20"/>
      <c r="F275" s="21"/>
      <c r="G275" s="21"/>
      <c r="H275" s="18"/>
      <c r="I275" s="30" t="str">
        <f t="shared" si="20"/>
        <v/>
      </c>
      <c r="J275" s="38" t="str">
        <f t="shared" si="21"/>
        <v/>
      </c>
      <c r="K275" s="30" t="str">
        <f t="shared" si="22"/>
        <v/>
      </c>
      <c r="L275" s="30" t="str">
        <f t="shared" si="23"/>
        <v/>
      </c>
      <c r="M275" s="30" t="str">
        <f t="shared" si="24"/>
        <v/>
      </c>
    </row>
    <row r="276" spans="1:13" x14ac:dyDescent="0.2">
      <c r="A276" s="35"/>
      <c r="B276" s="21"/>
      <c r="C276" s="18"/>
      <c r="D276" s="20"/>
      <c r="E276" s="20"/>
      <c r="F276" s="21"/>
      <c r="G276" s="21"/>
      <c r="H276" s="18"/>
      <c r="I276" s="30" t="str">
        <f t="shared" si="20"/>
        <v/>
      </c>
      <c r="J276" s="38" t="str">
        <f t="shared" si="21"/>
        <v/>
      </c>
      <c r="K276" s="30" t="str">
        <f t="shared" si="22"/>
        <v/>
      </c>
      <c r="L276" s="30" t="str">
        <f t="shared" si="23"/>
        <v/>
      </c>
      <c r="M276" s="30" t="str">
        <f t="shared" si="24"/>
        <v/>
      </c>
    </row>
    <row r="277" spans="1:13" x14ac:dyDescent="0.2">
      <c r="A277" s="35"/>
      <c r="B277" s="21"/>
      <c r="C277" s="18"/>
      <c r="D277" s="20"/>
      <c r="E277" s="20"/>
      <c r="F277" s="21"/>
      <c r="G277" s="21"/>
      <c r="H277" s="18"/>
      <c r="I277" s="30" t="str">
        <f t="shared" si="20"/>
        <v/>
      </c>
      <c r="J277" s="38" t="str">
        <f t="shared" si="21"/>
        <v/>
      </c>
      <c r="K277" s="30" t="str">
        <f t="shared" si="22"/>
        <v/>
      </c>
      <c r="L277" s="30" t="str">
        <f t="shared" si="23"/>
        <v/>
      </c>
      <c r="M277" s="30" t="str">
        <f t="shared" si="24"/>
        <v/>
      </c>
    </row>
    <row r="278" spans="1:13" x14ac:dyDescent="0.2">
      <c r="A278" s="35"/>
      <c r="B278" s="21"/>
      <c r="C278" s="18"/>
      <c r="D278" s="20"/>
      <c r="E278" s="20"/>
      <c r="F278" s="21"/>
      <c r="G278" s="21"/>
      <c r="H278" s="18"/>
      <c r="I278" s="30" t="str">
        <f t="shared" si="20"/>
        <v/>
      </c>
      <c r="J278" s="38" t="str">
        <f t="shared" si="21"/>
        <v/>
      </c>
      <c r="K278" s="30" t="str">
        <f t="shared" si="22"/>
        <v/>
      </c>
      <c r="L278" s="30" t="str">
        <f t="shared" si="23"/>
        <v/>
      </c>
      <c r="M278" s="30" t="str">
        <f t="shared" si="24"/>
        <v/>
      </c>
    </row>
    <row r="279" spans="1:13" x14ac:dyDescent="0.2">
      <c r="A279" s="35"/>
      <c r="B279" s="21"/>
      <c r="C279" s="18"/>
      <c r="D279" s="20"/>
      <c r="E279" s="20"/>
      <c r="F279" s="21"/>
      <c r="G279" s="21"/>
      <c r="H279" s="18"/>
      <c r="I279" s="30" t="str">
        <f t="shared" si="20"/>
        <v/>
      </c>
      <c r="J279" s="38" t="str">
        <f t="shared" si="21"/>
        <v/>
      </c>
      <c r="K279" s="30" t="str">
        <f t="shared" si="22"/>
        <v/>
      </c>
      <c r="L279" s="30" t="str">
        <f t="shared" si="23"/>
        <v/>
      </c>
      <c r="M279" s="30" t="str">
        <f t="shared" si="24"/>
        <v/>
      </c>
    </row>
    <row r="280" spans="1:13" x14ac:dyDescent="0.2">
      <c r="A280" s="35"/>
      <c r="B280" s="21"/>
      <c r="C280" s="18"/>
      <c r="D280" s="20"/>
      <c r="E280" s="20"/>
      <c r="F280" s="21"/>
      <c r="G280" s="21"/>
      <c r="H280" s="18"/>
      <c r="I280" s="30" t="str">
        <f t="shared" si="20"/>
        <v/>
      </c>
      <c r="J280" s="38" t="str">
        <f t="shared" si="21"/>
        <v/>
      </c>
      <c r="K280" s="30" t="str">
        <f t="shared" si="22"/>
        <v/>
      </c>
      <c r="L280" s="30" t="str">
        <f t="shared" si="23"/>
        <v/>
      </c>
      <c r="M280" s="30" t="str">
        <f t="shared" si="24"/>
        <v/>
      </c>
    </row>
    <row r="281" spans="1:13" x14ac:dyDescent="0.2">
      <c r="A281" s="35"/>
      <c r="B281" s="21"/>
      <c r="C281" s="18"/>
      <c r="D281" s="20"/>
      <c r="E281" s="20"/>
      <c r="F281" s="21"/>
      <c r="G281" s="21"/>
      <c r="H281" s="18"/>
      <c r="I281" s="30" t="str">
        <f t="shared" si="20"/>
        <v/>
      </c>
      <c r="J281" s="38" t="str">
        <f t="shared" si="21"/>
        <v/>
      </c>
      <c r="K281" s="30" t="str">
        <f t="shared" si="22"/>
        <v/>
      </c>
      <c r="L281" s="30" t="str">
        <f t="shared" si="23"/>
        <v/>
      </c>
      <c r="M281" s="30" t="str">
        <f t="shared" si="24"/>
        <v/>
      </c>
    </row>
    <row r="282" spans="1:13" x14ac:dyDescent="0.2">
      <c r="A282" s="35"/>
      <c r="B282" s="21"/>
      <c r="C282" s="18"/>
      <c r="D282" s="20"/>
      <c r="E282" s="20"/>
      <c r="F282" s="21"/>
      <c r="G282" s="21"/>
      <c r="H282" s="18"/>
      <c r="I282" s="30" t="str">
        <f t="shared" si="20"/>
        <v/>
      </c>
      <c r="J282" s="38" t="str">
        <f t="shared" si="21"/>
        <v/>
      </c>
      <c r="K282" s="30" t="str">
        <f t="shared" si="22"/>
        <v/>
      </c>
      <c r="L282" s="30" t="str">
        <f t="shared" si="23"/>
        <v/>
      </c>
      <c r="M282" s="30" t="str">
        <f t="shared" si="24"/>
        <v/>
      </c>
    </row>
    <row r="283" spans="1:13" x14ac:dyDescent="0.2">
      <c r="A283" s="35"/>
      <c r="B283" s="21"/>
      <c r="C283" s="18"/>
      <c r="D283" s="20"/>
      <c r="E283" s="20"/>
      <c r="F283" s="21"/>
      <c r="G283" s="21"/>
      <c r="H283" s="18"/>
      <c r="I283" s="30" t="str">
        <f t="shared" si="20"/>
        <v/>
      </c>
      <c r="J283" s="38" t="str">
        <f t="shared" si="21"/>
        <v/>
      </c>
      <c r="K283" s="30" t="str">
        <f t="shared" si="22"/>
        <v/>
      </c>
      <c r="L283" s="30" t="str">
        <f t="shared" si="23"/>
        <v/>
      </c>
      <c r="M283" s="30" t="str">
        <f t="shared" si="24"/>
        <v/>
      </c>
    </row>
    <row r="284" spans="1:13" x14ac:dyDescent="0.2">
      <c r="A284" s="35"/>
      <c r="B284" s="21"/>
      <c r="C284" s="18"/>
      <c r="D284" s="20"/>
      <c r="E284" s="20"/>
      <c r="F284" s="21"/>
      <c r="G284" s="21"/>
      <c r="H284" s="18"/>
      <c r="I284" s="30" t="str">
        <f t="shared" si="20"/>
        <v/>
      </c>
      <c r="J284" s="38" t="str">
        <f t="shared" si="21"/>
        <v/>
      </c>
      <c r="K284" s="30" t="str">
        <f t="shared" si="22"/>
        <v/>
      </c>
      <c r="L284" s="30" t="str">
        <f t="shared" si="23"/>
        <v/>
      </c>
      <c r="M284" s="30" t="str">
        <f t="shared" si="24"/>
        <v/>
      </c>
    </row>
    <row r="285" spans="1:13" x14ac:dyDescent="0.2">
      <c r="A285" s="35"/>
      <c r="B285" s="21"/>
      <c r="C285" s="18"/>
      <c r="D285" s="20"/>
      <c r="E285" s="20"/>
      <c r="F285" s="21"/>
      <c r="G285" s="21"/>
      <c r="H285" s="18"/>
      <c r="I285" s="30" t="str">
        <f t="shared" si="20"/>
        <v/>
      </c>
      <c r="J285" s="38" t="str">
        <f t="shared" si="21"/>
        <v/>
      </c>
      <c r="K285" s="30" t="str">
        <f t="shared" si="22"/>
        <v/>
      </c>
      <c r="L285" s="30" t="str">
        <f t="shared" si="23"/>
        <v/>
      </c>
      <c r="M285" s="30" t="str">
        <f t="shared" si="24"/>
        <v/>
      </c>
    </row>
    <row r="286" spans="1:13" x14ac:dyDescent="0.2">
      <c r="A286" s="35"/>
      <c r="B286" s="21"/>
      <c r="C286" s="18"/>
      <c r="D286" s="20"/>
      <c r="E286" s="20"/>
      <c r="F286" s="21"/>
      <c r="G286" s="21"/>
      <c r="H286" s="18"/>
      <c r="I286" s="30" t="str">
        <f t="shared" si="20"/>
        <v/>
      </c>
      <c r="J286" s="38" t="str">
        <f t="shared" si="21"/>
        <v/>
      </c>
      <c r="K286" s="30" t="str">
        <f t="shared" si="22"/>
        <v/>
      </c>
      <c r="L286" s="30" t="str">
        <f t="shared" si="23"/>
        <v/>
      </c>
      <c r="M286" s="30" t="str">
        <f t="shared" si="24"/>
        <v/>
      </c>
    </row>
    <row r="287" spans="1:13" x14ac:dyDescent="0.2">
      <c r="A287" s="35"/>
      <c r="B287" s="21"/>
      <c r="C287" s="18"/>
      <c r="D287" s="20"/>
      <c r="E287" s="20"/>
      <c r="F287" s="21"/>
      <c r="G287" s="21"/>
      <c r="H287" s="18"/>
      <c r="I287" s="30" t="str">
        <f t="shared" si="20"/>
        <v/>
      </c>
      <c r="J287" s="38" t="str">
        <f t="shared" si="21"/>
        <v/>
      </c>
      <c r="K287" s="30" t="str">
        <f t="shared" si="22"/>
        <v/>
      </c>
      <c r="L287" s="30" t="str">
        <f t="shared" si="23"/>
        <v/>
      </c>
      <c r="M287" s="30" t="str">
        <f t="shared" si="24"/>
        <v/>
      </c>
    </row>
    <row r="288" spans="1:13" x14ac:dyDescent="0.2">
      <c r="A288" s="35"/>
      <c r="B288" s="21"/>
      <c r="C288" s="18"/>
      <c r="D288" s="20"/>
      <c r="E288" s="20"/>
      <c r="F288" s="21"/>
      <c r="G288" s="21"/>
      <c r="H288" s="18"/>
      <c r="I288" s="30" t="str">
        <f t="shared" si="20"/>
        <v/>
      </c>
      <c r="J288" s="38" t="str">
        <f t="shared" si="21"/>
        <v/>
      </c>
      <c r="K288" s="30" t="str">
        <f t="shared" si="22"/>
        <v/>
      </c>
      <c r="L288" s="30" t="str">
        <f t="shared" si="23"/>
        <v/>
      </c>
      <c r="M288" s="30" t="str">
        <f t="shared" si="24"/>
        <v/>
      </c>
    </row>
    <row r="289" spans="1:13" x14ac:dyDescent="0.2">
      <c r="A289" s="35"/>
      <c r="B289" s="21"/>
      <c r="C289" s="18"/>
      <c r="D289" s="20"/>
      <c r="E289" s="20"/>
      <c r="F289" s="21"/>
      <c r="G289" s="21"/>
      <c r="H289" s="18"/>
      <c r="I289" s="30" t="str">
        <f t="shared" si="20"/>
        <v/>
      </c>
      <c r="J289" s="38" t="str">
        <f t="shared" si="21"/>
        <v/>
      </c>
      <c r="K289" s="30" t="str">
        <f t="shared" si="22"/>
        <v/>
      </c>
      <c r="L289" s="30" t="str">
        <f t="shared" si="23"/>
        <v/>
      </c>
      <c r="M289" s="30" t="str">
        <f t="shared" si="24"/>
        <v/>
      </c>
    </row>
    <row r="290" spans="1:13" x14ac:dyDescent="0.2">
      <c r="A290" s="35"/>
      <c r="B290" s="21"/>
      <c r="C290" s="18"/>
      <c r="D290" s="20"/>
      <c r="E290" s="20"/>
      <c r="F290" s="21"/>
      <c r="G290" s="21"/>
      <c r="H290" s="18"/>
      <c r="I290" s="30" t="str">
        <f t="shared" si="20"/>
        <v/>
      </c>
      <c r="J290" s="38" t="str">
        <f t="shared" si="21"/>
        <v/>
      </c>
      <c r="K290" s="30" t="str">
        <f t="shared" si="22"/>
        <v/>
      </c>
      <c r="L290" s="30" t="str">
        <f t="shared" si="23"/>
        <v/>
      </c>
      <c r="M290" s="30" t="str">
        <f t="shared" si="24"/>
        <v/>
      </c>
    </row>
    <row r="291" spans="1:13" x14ac:dyDescent="0.2">
      <c r="A291" s="35"/>
      <c r="B291" s="21"/>
      <c r="C291" s="18"/>
      <c r="D291" s="20"/>
      <c r="E291" s="20"/>
      <c r="F291" s="21"/>
      <c r="G291" s="21"/>
      <c r="H291" s="18"/>
      <c r="I291" s="30" t="str">
        <f t="shared" si="20"/>
        <v/>
      </c>
      <c r="J291" s="38" t="str">
        <f t="shared" si="21"/>
        <v/>
      </c>
      <c r="K291" s="30" t="str">
        <f t="shared" si="22"/>
        <v/>
      </c>
      <c r="L291" s="30" t="str">
        <f t="shared" si="23"/>
        <v/>
      </c>
      <c r="M291" s="30" t="str">
        <f t="shared" si="24"/>
        <v/>
      </c>
    </row>
    <row r="292" spans="1:13" x14ac:dyDescent="0.2">
      <c r="A292" s="35"/>
      <c r="B292" s="21"/>
      <c r="C292" s="18"/>
      <c r="D292" s="20"/>
      <c r="E292" s="20"/>
      <c r="F292" s="21"/>
      <c r="G292" s="21"/>
      <c r="H292" s="18"/>
      <c r="I292" s="30" t="str">
        <f t="shared" si="20"/>
        <v/>
      </c>
      <c r="J292" s="38" t="str">
        <f t="shared" si="21"/>
        <v/>
      </c>
      <c r="K292" s="30" t="str">
        <f t="shared" si="22"/>
        <v/>
      </c>
      <c r="L292" s="30" t="str">
        <f t="shared" si="23"/>
        <v/>
      </c>
      <c r="M292" s="30" t="str">
        <f t="shared" si="24"/>
        <v/>
      </c>
    </row>
    <row r="293" spans="1:13" x14ac:dyDescent="0.2">
      <c r="A293" s="35"/>
      <c r="B293" s="21"/>
      <c r="C293" s="18"/>
      <c r="D293" s="20"/>
      <c r="E293" s="20"/>
      <c r="F293" s="21"/>
      <c r="G293" s="21"/>
      <c r="H293" s="18"/>
      <c r="I293" s="30" t="str">
        <f t="shared" si="20"/>
        <v/>
      </c>
      <c r="J293" s="38" t="str">
        <f t="shared" si="21"/>
        <v/>
      </c>
      <c r="K293" s="30" t="str">
        <f t="shared" si="22"/>
        <v/>
      </c>
      <c r="L293" s="30" t="str">
        <f t="shared" si="23"/>
        <v/>
      </c>
      <c r="M293" s="30" t="str">
        <f t="shared" si="24"/>
        <v/>
      </c>
    </row>
    <row r="294" spans="1:13" x14ac:dyDescent="0.2">
      <c r="A294" s="35"/>
      <c r="B294" s="21"/>
      <c r="C294" s="18"/>
      <c r="D294" s="20"/>
      <c r="E294" s="20"/>
      <c r="F294" s="21"/>
      <c r="G294" s="21"/>
      <c r="H294" s="18"/>
      <c r="I294" s="30" t="str">
        <f t="shared" si="20"/>
        <v/>
      </c>
      <c r="J294" s="38" t="str">
        <f t="shared" si="21"/>
        <v/>
      </c>
      <c r="K294" s="30" t="str">
        <f t="shared" si="22"/>
        <v/>
      </c>
      <c r="L294" s="30" t="str">
        <f t="shared" si="23"/>
        <v/>
      </c>
      <c r="M294" s="30" t="str">
        <f t="shared" si="24"/>
        <v/>
      </c>
    </row>
    <row r="295" spans="1:13" x14ac:dyDescent="0.2">
      <c r="A295" s="35"/>
      <c r="B295" s="21"/>
      <c r="C295" s="18"/>
      <c r="D295" s="20"/>
      <c r="E295" s="20"/>
      <c r="F295" s="21"/>
      <c r="G295" s="21"/>
      <c r="H295" s="18"/>
      <c r="I295" s="30" t="str">
        <f t="shared" si="20"/>
        <v/>
      </c>
      <c r="J295" s="38" t="str">
        <f t="shared" si="21"/>
        <v/>
      </c>
      <c r="K295" s="30" t="str">
        <f t="shared" si="22"/>
        <v/>
      </c>
      <c r="L295" s="30" t="str">
        <f t="shared" si="23"/>
        <v/>
      </c>
      <c r="M295" s="30" t="str">
        <f t="shared" si="24"/>
        <v/>
      </c>
    </row>
    <row r="296" spans="1:13" x14ac:dyDescent="0.2">
      <c r="A296" s="35"/>
      <c r="B296" s="21"/>
      <c r="C296" s="18"/>
      <c r="D296" s="20"/>
      <c r="E296" s="20"/>
      <c r="F296" s="21"/>
      <c r="G296" s="21"/>
      <c r="H296" s="18"/>
      <c r="I296" s="30" t="str">
        <f t="shared" si="20"/>
        <v/>
      </c>
      <c r="J296" s="38" t="str">
        <f t="shared" si="21"/>
        <v/>
      </c>
      <c r="K296" s="30" t="str">
        <f t="shared" si="22"/>
        <v/>
      </c>
      <c r="L296" s="30" t="str">
        <f t="shared" si="23"/>
        <v/>
      </c>
      <c r="M296" s="30" t="str">
        <f t="shared" si="24"/>
        <v/>
      </c>
    </row>
    <row r="297" spans="1:13" x14ac:dyDescent="0.2">
      <c r="A297" s="35"/>
      <c r="B297" s="21"/>
      <c r="C297" s="18"/>
      <c r="D297" s="20"/>
      <c r="E297" s="20"/>
      <c r="F297" s="21"/>
      <c r="G297" s="21"/>
      <c r="H297" s="18"/>
      <c r="I297" s="30" t="str">
        <f t="shared" si="20"/>
        <v/>
      </c>
      <c r="J297" s="38" t="str">
        <f t="shared" si="21"/>
        <v/>
      </c>
      <c r="K297" s="30" t="str">
        <f t="shared" si="22"/>
        <v/>
      </c>
      <c r="L297" s="30" t="str">
        <f t="shared" si="23"/>
        <v/>
      </c>
      <c r="M297" s="30" t="str">
        <f t="shared" si="24"/>
        <v/>
      </c>
    </row>
    <row r="298" spans="1:13" x14ac:dyDescent="0.2">
      <c r="A298" s="35"/>
      <c r="B298" s="21"/>
      <c r="C298" s="18"/>
      <c r="D298" s="20"/>
      <c r="E298" s="20"/>
      <c r="F298" s="21"/>
      <c r="G298" s="21"/>
      <c r="H298" s="18"/>
      <c r="I298" s="30" t="str">
        <f t="shared" si="20"/>
        <v/>
      </c>
      <c r="J298" s="38" t="str">
        <f t="shared" si="21"/>
        <v/>
      </c>
      <c r="K298" s="30" t="str">
        <f t="shared" si="22"/>
        <v/>
      </c>
      <c r="L298" s="30" t="str">
        <f t="shared" si="23"/>
        <v/>
      </c>
      <c r="M298" s="30" t="str">
        <f t="shared" si="24"/>
        <v/>
      </c>
    </row>
    <row r="299" spans="1:13" x14ac:dyDescent="0.2">
      <c r="A299" s="35"/>
      <c r="B299" s="21"/>
      <c r="C299" s="18"/>
      <c r="D299" s="20"/>
      <c r="E299" s="20"/>
      <c r="F299" s="21"/>
      <c r="G299" s="21"/>
      <c r="H299" s="18"/>
      <c r="I299" s="30" t="str">
        <f t="shared" si="20"/>
        <v/>
      </c>
      <c r="J299" s="38" t="str">
        <f t="shared" si="21"/>
        <v/>
      </c>
      <c r="K299" s="30" t="str">
        <f t="shared" si="22"/>
        <v/>
      </c>
      <c r="L299" s="30" t="str">
        <f t="shared" si="23"/>
        <v/>
      </c>
      <c r="M299" s="30" t="str">
        <f t="shared" si="24"/>
        <v/>
      </c>
    </row>
    <row r="300" spans="1:13" x14ac:dyDescent="0.2">
      <c r="A300" s="35"/>
      <c r="B300" s="21"/>
      <c r="C300" s="18"/>
      <c r="D300" s="20"/>
      <c r="E300" s="20"/>
      <c r="F300" s="21"/>
      <c r="G300" s="21"/>
      <c r="H300" s="18"/>
      <c r="I300" s="30" t="str">
        <f t="shared" si="20"/>
        <v/>
      </c>
      <c r="J300" s="38" t="str">
        <f t="shared" si="21"/>
        <v/>
      </c>
      <c r="K300" s="30" t="str">
        <f t="shared" si="22"/>
        <v/>
      </c>
      <c r="L300" s="30" t="str">
        <f t="shared" si="23"/>
        <v/>
      </c>
      <c r="M300" s="30" t="str">
        <f t="shared" si="24"/>
        <v/>
      </c>
    </row>
    <row r="301" spans="1:13" x14ac:dyDescent="0.2">
      <c r="A301" s="35"/>
      <c r="B301" s="21"/>
      <c r="C301" s="18"/>
      <c r="D301" s="20"/>
      <c r="E301" s="20"/>
      <c r="F301" s="21"/>
      <c r="G301" s="21"/>
      <c r="H301" s="18"/>
      <c r="I301" s="30" t="str">
        <f t="shared" si="20"/>
        <v/>
      </c>
      <c r="J301" s="38" t="str">
        <f t="shared" si="21"/>
        <v/>
      </c>
      <c r="K301" s="30" t="str">
        <f t="shared" si="22"/>
        <v/>
      </c>
      <c r="L301" s="30" t="str">
        <f t="shared" si="23"/>
        <v/>
      </c>
      <c r="M301" s="30" t="str">
        <f t="shared" si="24"/>
        <v/>
      </c>
    </row>
    <row r="302" spans="1:13" x14ac:dyDescent="0.2">
      <c r="A302" s="35"/>
      <c r="B302" s="21"/>
      <c r="C302" s="18"/>
      <c r="D302" s="20"/>
      <c r="E302" s="20"/>
      <c r="F302" s="21"/>
      <c r="G302" s="21"/>
      <c r="H302" s="18"/>
      <c r="I302" s="30" t="str">
        <f t="shared" si="20"/>
        <v/>
      </c>
      <c r="J302" s="38" t="str">
        <f t="shared" si="21"/>
        <v/>
      </c>
      <c r="K302" s="30" t="str">
        <f t="shared" si="22"/>
        <v/>
      </c>
      <c r="L302" s="30" t="str">
        <f t="shared" si="23"/>
        <v/>
      </c>
      <c r="M302" s="30" t="str">
        <f t="shared" si="24"/>
        <v/>
      </c>
    </row>
    <row r="303" spans="1:13" x14ac:dyDescent="0.2">
      <c r="A303" s="35"/>
      <c r="B303" s="21"/>
      <c r="C303" s="18"/>
      <c r="D303" s="20"/>
      <c r="E303" s="20"/>
      <c r="F303" s="21"/>
      <c r="G303" s="21"/>
      <c r="H303" s="18"/>
      <c r="I303" s="30" t="str">
        <f t="shared" si="20"/>
        <v/>
      </c>
      <c r="J303" s="38" t="str">
        <f t="shared" si="21"/>
        <v/>
      </c>
      <c r="K303" s="30" t="str">
        <f t="shared" si="22"/>
        <v/>
      </c>
      <c r="L303" s="30" t="str">
        <f t="shared" si="23"/>
        <v/>
      </c>
      <c r="M303" s="30" t="str">
        <f t="shared" si="24"/>
        <v/>
      </c>
    </row>
    <row r="304" spans="1:13" x14ac:dyDescent="0.2">
      <c r="A304" s="35"/>
      <c r="B304" s="21"/>
      <c r="C304" s="18"/>
      <c r="D304" s="20"/>
      <c r="E304" s="20"/>
      <c r="F304" s="21"/>
      <c r="G304" s="21"/>
      <c r="H304" s="18"/>
      <c r="I304" s="30" t="str">
        <f t="shared" si="20"/>
        <v/>
      </c>
      <c r="J304" s="38" t="str">
        <f t="shared" si="21"/>
        <v/>
      </c>
      <c r="K304" s="30" t="str">
        <f t="shared" si="22"/>
        <v/>
      </c>
      <c r="L304" s="30" t="str">
        <f t="shared" si="23"/>
        <v/>
      </c>
      <c r="M304" s="30" t="str">
        <f t="shared" si="24"/>
        <v/>
      </c>
    </row>
    <row r="305" spans="1:13" x14ac:dyDescent="0.2">
      <c r="A305" s="35"/>
      <c r="B305" s="21"/>
      <c r="C305" s="18"/>
      <c r="D305" s="20"/>
      <c r="E305" s="20"/>
      <c r="F305" s="21"/>
      <c r="G305" s="21"/>
      <c r="H305" s="18"/>
      <c r="I305" s="30" t="str">
        <f t="shared" si="20"/>
        <v/>
      </c>
      <c r="J305" s="38" t="str">
        <f t="shared" si="21"/>
        <v/>
      </c>
      <c r="K305" s="30" t="str">
        <f t="shared" si="22"/>
        <v/>
      </c>
      <c r="L305" s="30" t="str">
        <f t="shared" si="23"/>
        <v/>
      </c>
      <c r="M305" s="30" t="str">
        <f t="shared" si="24"/>
        <v/>
      </c>
    </row>
    <row r="306" spans="1:13" x14ac:dyDescent="0.2">
      <c r="A306" s="35"/>
      <c r="B306" s="21"/>
      <c r="C306" s="18"/>
      <c r="D306" s="20"/>
      <c r="E306" s="20"/>
      <c r="F306" s="21"/>
      <c r="G306" s="21"/>
      <c r="H306" s="18"/>
      <c r="I306" s="30" t="str">
        <f t="shared" si="20"/>
        <v/>
      </c>
      <c r="J306" s="38" t="str">
        <f t="shared" si="21"/>
        <v/>
      </c>
      <c r="K306" s="30" t="str">
        <f t="shared" si="22"/>
        <v/>
      </c>
      <c r="L306" s="30" t="str">
        <f t="shared" si="23"/>
        <v/>
      </c>
      <c r="M306" s="30" t="str">
        <f t="shared" si="24"/>
        <v/>
      </c>
    </row>
    <row r="307" spans="1:13" x14ac:dyDescent="0.2">
      <c r="A307" s="35"/>
      <c r="B307" s="21"/>
      <c r="C307" s="18"/>
      <c r="D307" s="20"/>
      <c r="E307" s="20"/>
      <c r="F307" s="21"/>
      <c r="G307" s="21"/>
      <c r="H307" s="18"/>
      <c r="I307" s="30" t="str">
        <f t="shared" si="20"/>
        <v/>
      </c>
      <c r="J307" s="38" t="str">
        <f t="shared" si="21"/>
        <v/>
      </c>
      <c r="K307" s="30" t="str">
        <f t="shared" si="22"/>
        <v/>
      </c>
      <c r="L307" s="30" t="str">
        <f t="shared" si="23"/>
        <v/>
      </c>
      <c r="M307" s="30" t="str">
        <f t="shared" si="24"/>
        <v/>
      </c>
    </row>
    <row r="308" spans="1:13" x14ac:dyDescent="0.2">
      <c r="A308" s="35"/>
      <c r="B308" s="21"/>
      <c r="C308" s="18"/>
      <c r="D308" s="20"/>
      <c r="E308" s="20"/>
      <c r="F308" s="21"/>
      <c r="G308" s="21"/>
      <c r="H308" s="18"/>
      <c r="I308" s="30" t="str">
        <f t="shared" si="20"/>
        <v/>
      </c>
      <c r="J308" s="38" t="str">
        <f t="shared" si="21"/>
        <v/>
      </c>
      <c r="K308" s="30" t="str">
        <f t="shared" si="22"/>
        <v/>
      </c>
      <c r="L308" s="30" t="str">
        <f t="shared" si="23"/>
        <v/>
      </c>
      <c r="M308" s="30" t="str">
        <f t="shared" si="24"/>
        <v/>
      </c>
    </row>
    <row r="309" spans="1:13" x14ac:dyDescent="0.2">
      <c r="A309" s="35"/>
      <c r="B309" s="21"/>
      <c r="C309" s="18"/>
      <c r="D309" s="20"/>
      <c r="E309" s="20"/>
      <c r="F309" s="21"/>
      <c r="G309" s="21"/>
      <c r="H309" s="18"/>
      <c r="I309" s="30" t="str">
        <f t="shared" si="20"/>
        <v/>
      </c>
      <c r="J309" s="38" t="str">
        <f t="shared" si="21"/>
        <v/>
      </c>
      <c r="K309" s="30" t="str">
        <f t="shared" si="22"/>
        <v/>
      </c>
      <c r="L309" s="30" t="str">
        <f t="shared" si="23"/>
        <v/>
      </c>
      <c r="M309" s="30" t="str">
        <f t="shared" si="24"/>
        <v/>
      </c>
    </row>
    <row r="310" spans="1:13" x14ac:dyDescent="0.2">
      <c r="A310" s="35"/>
      <c r="B310" s="21"/>
      <c r="C310" s="18"/>
      <c r="D310" s="20"/>
      <c r="E310" s="20"/>
      <c r="F310" s="21"/>
      <c r="G310" s="21"/>
      <c r="H310" s="18"/>
      <c r="I310" s="30" t="str">
        <f t="shared" si="20"/>
        <v/>
      </c>
      <c r="J310" s="38" t="str">
        <f t="shared" si="21"/>
        <v/>
      </c>
      <c r="K310" s="30" t="str">
        <f t="shared" si="22"/>
        <v/>
      </c>
      <c r="L310" s="30" t="str">
        <f t="shared" si="23"/>
        <v/>
      </c>
      <c r="M310" s="30" t="str">
        <f t="shared" si="24"/>
        <v/>
      </c>
    </row>
    <row r="311" spans="1:13" x14ac:dyDescent="0.2">
      <c r="A311" s="35"/>
      <c r="B311" s="21"/>
      <c r="C311" s="18"/>
      <c r="D311" s="20"/>
      <c r="E311" s="20"/>
      <c r="F311" s="21"/>
      <c r="G311" s="21"/>
      <c r="H311" s="18"/>
      <c r="I311" s="30" t="str">
        <f t="shared" si="20"/>
        <v/>
      </c>
      <c r="J311" s="38" t="str">
        <f t="shared" si="21"/>
        <v/>
      </c>
      <c r="K311" s="30" t="str">
        <f t="shared" si="22"/>
        <v/>
      </c>
      <c r="L311" s="30" t="str">
        <f t="shared" si="23"/>
        <v/>
      </c>
      <c r="M311" s="30" t="str">
        <f t="shared" si="24"/>
        <v/>
      </c>
    </row>
    <row r="312" spans="1:13" x14ac:dyDescent="0.2">
      <c r="A312" s="35"/>
      <c r="B312" s="21"/>
      <c r="C312" s="18"/>
      <c r="D312" s="20"/>
      <c r="E312" s="20"/>
      <c r="F312" s="21"/>
      <c r="G312" s="21"/>
      <c r="H312" s="18"/>
      <c r="I312" s="30" t="str">
        <f t="shared" si="20"/>
        <v/>
      </c>
      <c r="J312" s="38" t="str">
        <f t="shared" si="21"/>
        <v/>
      </c>
      <c r="K312" s="30" t="str">
        <f t="shared" si="22"/>
        <v/>
      </c>
      <c r="L312" s="30" t="str">
        <f t="shared" si="23"/>
        <v/>
      </c>
      <c r="M312" s="30" t="str">
        <f t="shared" si="24"/>
        <v/>
      </c>
    </row>
    <row r="313" spans="1:13" x14ac:dyDescent="0.2">
      <c r="A313" s="35"/>
      <c r="B313" s="21"/>
      <c r="C313" s="18"/>
      <c r="D313" s="20"/>
      <c r="E313" s="20"/>
      <c r="F313" s="21"/>
      <c r="G313" s="21"/>
      <c r="H313" s="18"/>
      <c r="I313" s="30" t="str">
        <f t="shared" si="20"/>
        <v/>
      </c>
      <c r="J313" s="38" t="str">
        <f t="shared" si="21"/>
        <v/>
      </c>
      <c r="K313" s="30" t="str">
        <f t="shared" si="22"/>
        <v/>
      </c>
      <c r="L313" s="30" t="str">
        <f t="shared" si="23"/>
        <v/>
      </c>
      <c r="M313" s="30" t="str">
        <f t="shared" si="24"/>
        <v/>
      </c>
    </row>
    <row r="314" spans="1:13" x14ac:dyDescent="0.2">
      <c r="A314" s="35"/>
      <c r="B314" s="21"/>
      <c r="C314" s="18"/>
      <c r="D314" s="20"/>
      <c r="E314" s="20"/>
      <c r="F314" s="21"/>
      <c r="G314" s="21"/>
      <c r="H314" s="18"/>
      <c r="I314" s="30" t="str">
        <f t="shared" si="20"/>
        <v/>
      </c>
      <c r="J314" s="38" t="str">
        <f t="shared" si="21"/>
        <v/>
      </c>
      <c r="K314" s="30" t="str">
        <f t="shared" si="22"/>
        <v/>
      </c>
      <c r="L314" s="30" t="str">
        <f t="shared" si="23"/>
        <v/>
      </c>
      <c r="M314" s="30" t="str">
        <f t="shared" si="24"/>
        <v/>
      </c>
    </row>
    <row r="315" spans="1:13" x14ac:dyDescent="0.2">
      <c r="A315" s="35"/>
      <c r="B315" s="21"/>
      <c r="C315" s="18"/>
      <c r="D315" s="20"/>
      <c r="E315" s="20"/>
      <c r="F315" s="21"/>
      <c r="G315" s="21"/>
      <c r="H315" s="18"/>
      <c r="I315" s="30" t="str">
        <f t="shared" si="20"/>
        <v/>
      </c>
      <c r="J315" s="38" t="str">
        <f t="shared" si="21"/>
        <v/>
      </c>
      <c r="K315" s="30" t="str">
        <f t="shared" si="22"/>
        <v/>
      </c>
      <c r="L315" s="30" t="str">
        <f t="shared" si="23"/>
        <v/>
      </c>
      <c r="M315" s="30" t="str">
        <f t="shared" si="24"/>
        <v/>
      </c>
    </row>
    <row r="316" spans="1:13" x14ac:dyDescent="0.2">
      <c r="A316" s="35"/>
      <c r="B316" s="21"/>
      <c r="C316" s="18"/>
      <c r="D316" s="20"/>
      <c r="E316" s="20"/>
      <c r="F316" s="21"/>
      <c r="G316" s="21"/>
      <c r="H316" s="18"/>
      <c r="I316" s="30" t="str">
        <f t="shared" si="20"/>
        <v/>
      </c>
      <c r="J316" s="38" t="str">
        <f t="shared" si="21"/>
        <v/>
      </c>
      <c r="K316" s="30" t="str">
        <f t="shared" si="22"/>
        <v/>
      </c>
      <c r="L316" s="30" t="str">
        <f t="shared" si="23"/>
        <v/>
      </c>
      <c r="M316" s="30" t="str">
        <f t="shared" si="24"/>
        <v/>
      </c>
    </row>
    <row r="317" spans="1:13" x14ac:dyDescent="0.2">
      <c r="A317" s="35"/>
      <c r="B317" s="21"/>
      <c r="C317" s="18"/>
      <c r="D317" s="20"/>
      <c r="E317" s="20"/>
      <c r="F317" s="21"/>
      <c r="G317" s="21"/>
      <c r="H317" s="18"/>
      <c r="I317" s="30" t="str">
        <f t="shared" si="20"/>
        <v/>
      </c>
      <c r="J317" s="38" t="str">
        <f t="shared" si="21"/>
        <v/>
      </c>
      <c r="K317" s="30" t="str">
        <f t="shared" si="22"/>
        <v/>
      </c>
      <c r="L317" s="30" t="str">
        <f t="shared" si="23"/>
        <v/>
      </c>
      <c r="M317" s="30" t="str">
        <f t="shared" si="24"/>
        <v/>
      </c>
    </row>
    <row r="318" spans="1:13" x14ac:dyDescent="0.2">
      <c r="A318" s="35"/>
      <c r="B318" s="21"/>
      <c r="C318" s="18"/>
      <c r="D318" s="20"/>
      <c r="E318" s="20"/>
      <c r="F318" s="21"/>
      <c r="G318" s="21"/>
      <c r="H318" s="18"/>
      <c r="I318" s="30" t="str">
        <f t="shared" si="20"/>
        <v/>
      </c>
      <c r="J318" s="38" t="str">
        <f t="shared" si="21"/>
        <v/>
      </c>
      <c r="K318" s="30" t="str">
        <f t="shared" si="22"/>
        <v/>
      </c>
      <c r="L318" s="30" t="str">
        <f t="shared" si="23"/>
        <v/>
      </c>
      <c r="M318" s="30" t="str">
        <f t="shared" si="24"/>
        <v/>
      </c>
    </row>
    <row r="319" spans="1:13" x14ac:dyDescent="0.2">
      <c r="A319" s="35"/>
      <c r="B319" s="21"/>
      <c r="C319" s="18"/>
      <c r="D319" s="20"/>
      <c r="E319" s="20"/>
      <c r="F319" s="21"/>
      <c r="G319" s="21"/>
      <c r="H319" s="18"/>
      <c r="I319" s="30" t="str">
        <f t="shared" si="20"/>
        <v/>
      </c>
      <c r="J319" s="38" t="str">
        <f t="shared" si="21"/>
        <v/>
      </c>
      <c r="K319" s="30" t="str">
        <f t="shared" si="22"/>
        <v/>
      </c>
      <c r="L319" s="30" t="str">
        <f t="shared" si="23"/>
        <v/>
      </c>
      <c r="M319" s="30" t="str">
        <f t="shared" si="24"/>
        <v/>
      </c>
    </row>
    <row r="320" spans="1:13" x14ac:dyDescent="0.2">
      <c r="A320" s="35"/>
      <c r="B320" s="21"/>
      <c r="C320" s="18"/>
      <c r="D320" s="20"/>
      <c r="E320" s="20"/>
      <c r="F320" s="21"/>
      <c r="G320" s="21"/>
      <c r="H320" s="18"/>
      <c r="I320" s="30" t="str">
        <f t="shared" si="20"/>
        <v/>
      </c>
      <c r="J320" s="38" t="str">
        <f t="shared" si="21"/>
        <v/>
      </c>
      <c r="K320" s="30" t="str">
        <f t="shared" si="22"/>
        <v/>
      </c>
      <c r="L320" s="30" t="str">
        <f t="shared" si="23"/>
        <v/>
      </c>
      <c r="M320" s="30" t="str">
        <f t="shared" si="24"/>
        <v/>
      </c>
    </row>
    <row r="321" spans="1:13" x14ac:dyDescent="0.2">
      <c r="A321" s="35"/>
      <c r="B321" s="21"/>
      <c r="C321" s="18"/>
      <c r="D321" s="20"/>
      <c r="E321" s="20"/>
      <c r="F321" s="21"/>
      <c r="G321" s="21"/>
      <c r="H321" s="18"/>
      <c r="I321" s="30" t="str">
        <f t="shared" si="20"/>
        <v/>
      </c>
      <c r="J321" s="38" t="str">
        <f t="shared" si="21"/>
        <v/>
      </c>
      <c r="K321" s="30" t="str">
        <f t="shared" si="22"/>
        <v/>
      </c>
      <c r="L321" s="30" t="str">
        <f t="shared" si="23"/>
        <v/>
      </c>
      <c r="M321" s="30" t="str">
        <f t="shared" si="24"/>
        <v/>
      </c>
    </row>
    <row r="322" spans="1:13" x14ac:dyDescent="0.2">
      <c r="A322" s="35"/>
      <c r="B322" s="21"/>
      <c r="C322" s="18"/>
      <c r="D322" s="20"/>
      <c r="E322" s="20"/>
      <c r="F322" s="21"/>
      <c r="G322" s="21"/>
      <c r="H322" s="18"/>
      <c r="I322" s="30" t="str">
        <f t="shared" si="20"/>
        <v/>
      </c>
      <c r="J322" s="38" t="str">
        <f t="shared" si="21"/>
        <v/>
      </c>
      <c r="K322" s="30" t="str">
        <f t="shared" si="22"/>
        <v/>
      </c>
      <c r="L322" s="30" t="str">
        <f t="shared" si="23"/>
        <v/>
      </c>
      <c r="M322" s="30" t="str">
        <f t="shared" si="24"/>
        <v/>
      </c>
    </row>
    <row r="323" spans="1:13" x14ac:dyDescent="0.2">
      <c r="A323" s="35"/>
      <c r="B323" s="21"/>
      <c r="C323" s="18"/>
      <c r="D323" s="20"/>
      <c r="E323" s="20"/>
      <c r="F323" s="21"/>
      <c r="G323" s="21"/>
      <c r="H323" s="18"/>
      <c r="I323" s="30" t="str">
        <f t="shared" si="20"/>
        <v/>
      </c>
      <c r="J323" s="38" t="str">
        <f t="shared" si="21"/>
        <v/>
      </c>
      <c r="K323" s="30" t="str">
        <f t="shared" si="22"/>
        <v/>
      </c>
      <c r="L323" s="30" t="str">
        <f t="shared" si="23"/>
        <v/>
      </c>
      <c r="M323" s="30" t="str">
        <f t="shared" si="24"/>
        <v/>
      </c>
    </row>
    <row r="324" spans="1:13" x14ac:dyDescent="0.2">
      <c r="A324" s="35"/>
      <c r="B324" s="21"/>
      <c r="C324" s="18"/>
      <c r="D324" s="20"/>
      <c r="E324" s="20"/>
      <c r="F324" s="21"/>
      <c r="G324" s="21"/>
      <c r="H324" s="18"/>
      <c r="I324" s="30" t="str">
        <f t="shared" si="20"/>
        <v/>
      </c>
      <c r="J324" s="38" t="str">
        <f t="shared" si="21"/>
        <v/>
      </c>
      <c r="K324" s="30" t="str">
        <f t="shared" si="22"/>
        <v/>
      </c>
      <c r="L324" s="30" t="str">
        <f t="shared" si="23"/>
        <v/>
      </c>
      <c r="M324" s="30" t="str">
        <f t="shared" si="24"/>
        <v/>
      </c>
    </row>
    <row r="325" spans="1:13" x14ac:dyDescent="0.2">
      <c r="A325" s="35"/>
      <c r="B325" s="21"/>
      <c r="C325" s="18"/>
      <c r="D325" s="20"/>
      <c r="E325" s="20"/>
      <c r="F325" s="21"/>
      <c r="G325" s="21"/>
      <c r="H325" s="18"/>
      <c r="I325" s="30" t="str">
        <f t="shared" si="20"/>
        <v/>
      </c>
      <c r="J325" s="38" t="str">
        <f t="shared" si="21"/>
        <v/>
      </c>
      <c r="K325" s="30" t="str">
        <f t="shared" si="22"/>
        <v/>
      </c>
      <c r="L325" s="30" t="str">
        <f t="shared" si="23"/>
        <v/>
      </c>
      <c r="M325" s="30" t="str">
        <f t="shared" si="24"/>
        <v/>
      </c>
    </row>
    <row r="326" spans="1:13" x14ac:dyDescent="0.2">
      <c r="A326" s="35"/>
      <c r="B326" s="21"/>
      <c r="C326" s="18"/>
      <c r="D326" s="20"/>
      <c r="E326" s="20"/>
      <c r="F326" s="21"/>
      <c r="G326" s="21"/>
      <c r="H326" s="18"/>
      <c r="I326" s="30" t="str">
        <f t="shared" ref="I326:I389" si="25">IF(OR(D326="",E326=""),"",ROUND(MOD(E326-D326,1)*1440,0))</f>
        <v/>
      </c>
      <c r="J326" s="38" t="str">
        <f t="shared" ref="J326:J389" si="26">IF(F326="","",IFERROR(INDEX(LYDO_TEN,MATCH(F326,DS_LYDO,0)),"?"))</f>
        <v/>
      </c>
      <c r="K326" s="30" t="str">
        <f t="shared" ref="K326:K389" si="27">IF(F326="","",IFERROR(INDEX(LYDO_LOAI,MATCH(F326,DS_LYDO,0)),"?"))</f>
        <v/>
      </c>
      <c r="L326" s="30" t="str">
        <f t="shared" ref="L326:L389" si="28">IF(F326="","",IFERROR(INDEX(LYDO_BP,MATCH(F326,DS_LYDO,0)),"?"))</f>
        <v/>
      </c>
      <c r="M326" s="30" t="str">
        <f t="shared" ref="M326:M389" si="29">IF(I326="","",IF(MOD(I326,5)=0,1,0))</f>
        <v/>
      </c>
    </row>
    <row r="327" spans="1:13" x14ac:dyDescent="0.2">
      <c r="A327" s="35"/>
      <c r="B327" s="21"/>
      <c r="C327" s="18"/>
      <c r="D327" s="20"/>
      <c r="E327" s="20"/>
      <c r="F327" s="21"/>
      <c r="G327" s="21"/>
      <c r="H327" s="18"/>
      <c r="I327" s="30" t="str">
        <f t="shared" si="25"/>
        <v/>
      </c>
      <c r="J327" s="38" t="str">
        <f t="shared" si="26"/>
        <v/>
      </c>
      <c r="K327" s="30" t="str">
        <f t="shared" si="27"/>
        <v/>
      </c>
      <c r="L327" s="30" t="str">
        <f t="shared" si="28"/>
        <v/>
      </c>
      <c r="M327" s="30" t="str">
        <f t="shared" si="29"/>
        <v/>
      </c>
    </row>
    <row r="328" spans="1:13" x14ac:dyDescent="0.2">
      <c r="A328" s="35"/>
      <c r="B328" s="21"/>
      <c r="C328" s="18"/>
      <c r="D328" s="20"/>
      <c r="E328" s="20"/>
      <c r="F328" s="21"/>
      <c r="G328" s="21"/>
      <c r="H328" s="18"/>
      <c r="I328" s="30" t="str">
        <f t="shared" si="25"/>
        <v/>
      </c>
      <c r="J328" s="38" t="str">
        <f t="shared" si="26"/>
        <v/>
      </c>
      <c r="K328" s="30" t="str">
        <f t="shared" si="27"/>
        <v/>
      </c>
      <c r="L328" s="30" t="str">
        <f t="shared" si="28"/>
        <v/>
      </c>
      <c r="M328" s="30" t="str">
        <f t="shared" si="29"/>
        <v/>
      </c>
    </row>
    <row r="329" spans="1:13" x14ac:dyDescent="0.2">
      <c r="A329" s="35"/>
      <c r="B329" s="21"/>
      <c r="C329" s="18"/>
      <c r="D329" s="20"/>
      <c r="E329" s="20"/>
      <c r="F329" s="21"/>
      <c r="G329" s="21"/>
      <c r="H329" s="18"/>
      <c r="I329" s="30" t="str">
        <f t="shared" si="25"/>
        <v/>
      </c>
      <c r="J329" s="38" t="str">
        <f t="shared" si="26"/>
        <v/>
      </c>
      <c r="K329" s="30" t="str">
        <f t="shared" si="27"/>
        <v/>
      </c>
      <c r="L329" s="30" t="str">
        <f t="shared" si="28"/>
        <v/>
      </c>
      <c r="M329" s="30" t="str">
        <f t="shared" si="29"/>
        <v/>
      </c>
    </row>
    <row r="330" spans="1:13" x14ac:dyDescent="0.2">
      <c r="A330" s="35"/>
      <c r="B330" s="21"/>
      <c r="C330" s="18"/>
      <c r="D330" s="20"/>
      <c r="E330" s="20"/>
      <c r="F330" s="21"/>
      <c r="G330" s="21"/>
      <c r="H330" s="18"/>
      <c r="I330" s="30" t="str">
        <f t="shared" si="25"/>
        <v/>
      </c>
      <c r="J330" s="38" t="str">
        <f t="shared" si="26"/>
        <v/>
      </c>
      <c r="K330" s="30" t="str">
        <f t="shared" si="27"/>
        <v/>
      </c>
      <c r="L330" s="30" t="str">
        <f t="shared" si="28"/>
        <v/>
      </c>
      <c r="M330" s="30" t="str">
        <f t="shared" si="29"/>
        <v/>
      </c>
    </row>
    <row r="331" spans="1:13" x14ac:dyDescent="0.2">
      <c r="A331" s="35"/>
      <c r="B331" s="21"/>
      <c r="C331" s="18"/>
      <c r="D331" s="20"/>
      <c r="E331" s="20"/>
      <c r="F331" s="21"/>
      <c r="G331" s="21"/>
      <c r="H331" s="18"/>
      <c r="I331" s="30" t="str">
        <f t="shared" si="25"/>
        <v/>
      </c>
      <c r="J331" s="38" t="str">
        <f t="shared" si="26"/>
        <v/>
      </c>
      <c r="K331" s="30" t="str">
        <f t="shared" si="27"/>
        <v/>
      </c>
      <c r="L331" s="30" t="str">
        <f t="shared" si="28"/>
        <v/>
      </c>
      <c r="M331" s="30" t="str">
        <f t="shared" si="29"/>
        <v/>
      </c>
    </row>
    <row r="332" spans="1:13" x14ac:dyDescent="0.2">
      <c r="A332" s="35"/>
      <c r="B332" s="21"/>
      <c r="C332" s="18"/>
      <c r="D332" s="20"/>
      <c r="E332" s="20"/>
      <c r="F332" s="21"/>
      <c r="G332" s="21"/>
      <c r="H332" s="18"/>
      <c r="I332" s="30" t="str">
        <f t="shared" si="25"/>
        <v/>
      </c>
      <c r="J332" s="38" t="str">
        <f t="shared" si="26"/>
        <v/>
      </c>
      <c r="K332" s="30" t="str">
        <f t="shared" si="27"/>
        <v/>
      </c>
      <c r="L332" s="30" t="str">
        <f t="shared" si="28"/>
        <v/>
      </c>
      <c r="M332" s="30" t="str">
        <f t="shared" si="29"/>
        <v/>
      </c>
    </row>
    <row r="333" spans="1:13" x14ac:dyDescent="0.2">
      <c r="A333" s="35"/>
      <c r="B333" s="21"/>
      <c r="C333" s="18"/>
      <c r="D333" s="20"/>
      <c r="E333" s="20"/>
      <c r="F333" s="21"/>
      <c r="G333" s="21"/>
      <c r="H333" s="18"/>
      <c r="I333" s="30" t="str">
        <f t="shared" si="25"/>
        <v/>
      </c>
      <c r="J333" s="38" t="str">
        <f t="shared" si="26"/>
        <v/>
      </c>
      <c r="K333" s="30" t="str">
        <f t="shared" si="27"/>
        <v/>
      </c>
      <c r="L333" s="30" t="str">
        <f t="shared" si="28"/>
        <v/>
      </c>
      <c r="M333" s="30" t="str">
        <f t="shared" si="29"/>
        <v/>
      </c>
    </row>
    <row r="334" spans="1:13" x14ac:dyDescent="0.2">
      <c r="A334" s="35"/>
      <c r="B334" s="21"/>
      <c r="C334" s="18"/>
      <c r="D334" s="20"/>
      <c r="E334" s="20"/>
      <c r="F334" s="21"/>
      <c r="G334" s="21"/>
      <c r="H334" s="18"/>
      <c r="I334" s="30" t="str">
        <f t="shared" si="25"/>
        <v/>
      </c>
      <c r="J334" s="38" t="str">
        <f t="shared" si="26"/>
        <v/>
      </c>
      <c r="K334" s="30" t="str">
        <f t="shared" si="27"/>
        <v/>
      </c>
      <c r="L334" s="30" t="str">
        <f t="shared" si="28"/>
        <v/>
      </c>
      <c r="M334" s="30" t="str">
        <f t="shared" si="29"/>
        <v/>
      </c>
    </row>
    <row r="335" spans="1:13" x14ac:dyDescent="0.2">
      <c r="A335" s="35"/>
      <c r="B335" s="21"/>
      <c r="C335" s="18"/>
      <c r="D335" s="20"/>
      <c r="E335" s="20"/>
      <c r="F335" s="21"/>
      <c r="G335" s="21"/>
      <c r="H335" s="18"/>
      <c r="I335" s="30" t="str">
        <f t="shared" si="25"/>
        <v/>
      </c>
      <c r="J335" s="38" t="str">
        <f t="shared" si="26"/>
        <v/>
      </c>
      <c r="K335" s="30" t="str">
        <f t="shared" si="27"/>
        <v/>
      </c>
      <c r="L335" s="30" t="str">
        <f t="shared" si="28"/>
        <v/>
      </c>
      <c r="M335" s="30" t="str">
        <f t="shared" si="29"/>
        <v/>
      </c>
    </row>
    <row r="336" spans="1:13" x14ac:dyDescent="0.2">
      <c r="A336" s="35"/>
      <c r="B336" s="21"/>
      <c r="C336" s="18"/>
      <c r="D336" s="20"/>
      <c r="E336" s="20"/>
      <c r="F336" s="21"/>
      <c r="G336" s="21"/>
      <c r="H336" s="18"/>
      <c r="I336" s="30" t="str">
        <f t="shared" si="25"/>
        <v/>
      </c>
      <c r="J336" s="38" t="str">
        <f t="shared" si="26"/>
        <v/>
      </c>
      <c r="K336" s="30" t="str">
        <f t="shared" si="27"/>
        <v/>
      </c>
      <c r="L336" s="30" t="str">
        <f t="shared" si="28"/>
        <v/>
      </c>
      <c r="M336" s="30" t="str">
        <f t="shared" si="29"/>
        <v/>
      </c>
    </row>
    <row r="337" spans="1:13" x14ac:dyDescent="0.2">
      <c r="A337" s="35"/>
      <c r="B337" s="21"/>
      <c r="C337" s="18"/>
      <c r="D337" s="20"/>
      <c r="E337" s="20"/>
      <c r="F337" s="21"/>
      <c r="G337" s="21"/>
      <c r="H337" s="18"/>
      <c r="I337" s="30" t="str">
        <f t="shared" si="25"/>
        <v/>
      </c>
      <c r="J337" s="38" t="str">
        <f t="shared" si="26"/>
        <v/>
      </c>
      <c r="K337" s="30" t="str">
        <f t="shared" si="27"/>
        <v/>
      </c>
      <c r="L337" s="30" t="str">
        <f t="shared" si="28"/>
        <v/>
      </c>
      <c r="M337" s="30" t="str">
        <f t="shared" si="29"/>
        <v/>
      </c>
    </row>
    <row r="338" spans="1:13" x14ac:dyDescent="0.2">
      <c r="A338" s="35"/>
      <c r="B338" s="21"/>
      <c r="C338" s="18"/>
      <c r="D338" s="20"/>
      <c r="E338" s="20"/>
      <c r="F338" s="21"/>
      <c r="G338" s="21"/>
      <c r="H338" s="18"/>
      <c r="I338" s="30" t="str">
        <f t="shared" si="25"/>
        <v/>
      </c>
      <c r="J338" s="38" t="str">
        <f t="shared" si="26"/>
        <v/>
      </c>
      <c r="K338" s="30" t="str">
        <f t="shared" si="27"/>
        <v/>
      </c>
      <c r="L338" s="30" t="str">
        <f t="shared" si="28"/>
        <v/>
      </c>
      <c r="M338" s="30" t="str">
        <f t="shared" si="29"/>
        <v/>
      </c>
    </row>
    <row r="339" spans="1:13" x14ac:dyDescent="0.2">
      <c r="A339" s="35"/>
      <c r="B339" s="21"/>
      <c r="C339" s="18"/>
      <c r="D339" s="20"/>
      <c r="E339" s="20"/>
      <c r="F339" s="21"/>
      <c r="G339" s="21"/>
      <c r="H339" s="18"/>
      <c r="I339" s="30" t="str">
        <f t="shared" si="25"/>
        <v/>
      </c>
      <c r="J339" s="38" t="str">
        <f t="shared" si="26"/>
        <v/>
      </c>
      <c r="K339" s="30" t="str">
        <f t="shared" si="27"/>
        <v/>
      </c>
      <c r="L339" s="30" t="str">
        <f t="shared" si="28"/>
        <v/>
      </c>
      <c r="M339" s="30" t="str">
        <f t="shared" si="29"/>
        <v/>
      </c>
    </row>
    <row r="340" spans="1:13" x14ac:dyDescent="0.2">
      <c r="A340" s="35"/>
      <c r="B340" s="21"/>
      <c r="C340" s="18"/>
      <c r="D340" s="20"/>
      <c r="E340" s="20"/>
      <c r="F340" s="21"/>
      <c r="G340" s="21"/>
      <c r="H340" s="18"/>
      <c r="I340" s="30" t="str">
        <f t="shared" si="25"/>
        <v/>
      </c>
      <c r="J340" s="38" t="str">
        <f t="shared" si="26"/>
        <v/>
      </c>
      <c r="K340" s="30" t="str">
        <f t="shared" si="27"/>
        <v/>
      </c>
      <c r="L340" s="30" t="str">
        <f t="shared" si="28"/>
        <v/>
      </c>
      <c r="M340" s="30" t="str">
        <f t="shared" si="29"/>
        <v/>
      </c>
    </row>
    <row r="341" spans="1:13" x14ac:dyDescent="0.2">
      <c r="A341" s="35"/>
      <c r="B341" s="21"/>
      <c r="C341" s="18"/>
      <c r="D341" s="20"/>
      <c r="E341" s="20"/>
      <c r="F341" s="21"/>
      <c r="G341" s="21"/>
      <c r="H341" s="18"/>
      <c r="I341" s="30" t="str">
        <f t="shared" si="25"/>
        <v/>
      </c>
      <c r="J341" s="38" t="str">
        <f t="shared" si="26"/>
        <v/>
      </c>
      <c r="K341" s="30" t="str">
        <f t="shared" si="27"/>
        <v/>
      </c>
      <c r="L341" s="30" t="str">
        <f t="shared" si="28"/>
        <v/>
      </c>
      <c r="M341" s="30" t="str">
        <f t="shared" si="29"/>
        <v/>
      </c>
    </row>
    <row r="342" spans="1:13" x14ac:dyDescent="0.2">
      <c r="A342" s="35"/>
      <c r="B342" s="21"/>
      <c r="C342" s="18"/>
      <c r="D342" s="20"/>
      <c r="E342" s="20"/>
      <c r="F342" s="21"/>
      <c r="G342" s="21"/>
      <c r="H342" s="18"/>
      <c r="I342" s="30" t="str">
        <f t="shared" si="25"/>
        <v/>
      </c>
      <c r="J342" s="38" t="str">
        <f t="shared" si="26"/>
        <v/>
      </c>
      <c r="K342" s="30" t="str">
        <f t="shared" si="27"/>
        <v/>
      </c>
      <c r="L342" s="30" t="str">
        <f t="shared" si="28"/>
        <v/>
      </c>
      <c r="M342" s="30" t="str">
        <f t="shared" si="29"/>
        <v/>
      </c>
    </row>
    <row r="343" spans="1:13" x14ac:dyDescent="0.2">
      <c r="A343" s="35"/>
      <c r="B343" s="21"/>
      <c r="C343" s="18"/>
      <c r="D343" s="20"/>
      <c r="E343" s="20"/>
      <c r="F343" s="21"/>
      <c r="G343" s="21"/>
      <c r="H343" s="18"/>
      <c r="I343" s="30" t="str">
        <f t="shared" si="25"/>
        <v/>
      </c>
      <c r="J343" s="38" t="str">
        <f t="shared" si="26"/>
        <v/>
      </c>
      <c r="K343" s="30" t="str">
        <f t="shared" si="27"/>
        <v/>
      </c>
      <c r="L343" s="30" t="str">
        <f t="shared" si="28"/>
        <v/>
      </c>
      <c r="M343" s="30" t="str">
        <f t="shared" si="29"/>
        <v/>
      </c>
    </row>
    <row r="344" spans="1:13" x14ac:dyDescent="0.2">
      <c r="A344" s="35"/>
      <c r="B344" s="21"/>
      <c r="C344" s="18"/>
      <c r="D344" s="20"/>
      <c r="E344" s="20"/>
      <c r="F344" s="21"/>
      <c r="G344" s="21"/>
      <c r="H344" s="18"/>
      <c r="I344" s="30" t="str">
        <f t="shared" si="25"/>
        <v/>
      </c>
      <c r="J344" s="38" t="str">
        <f t="shared" si="26"/>
        <v/>
      </c>
      <c r="K344" s="30" t="str">
        <f t="shared" si="27"/>
        <v/>
      </c>
      <c r="L344" s="30" t="str">
        <f t="shared" si="28"/>
        <v/>
      </c>
      <c r="M344" s="30" t="str">
        <f t="shared" si="29"/>
        <v/>
      </c>
    </row>
    <row r="345" spans="1:13" x14ac:dyDescent="0.2">
      <c r="A345" s="35"/>
      <c r="B345" s="21"/>
      <c r="C345" s="18"/>
      <c r="D345" s="20"/>
      <c r="E345" s="20"/>
      <c r="F345" s="21"/>
      <c r="G345" s="21"/>
      <c r="H345" s="18"/>
      <c r="I345" s="30" t="str">
        <f t="shared" si="25"/>
        <v/>
      </c>
      <c r="J345" s="38" t="str">
        <f t="shared" si="26"/>
        <v/>
      </c>
      <c r="K345" s="30" t="str">
        <f t="shared" si="27"/>
        <v/>
      </c>
      <c r="L345" s="30" t="str">
        <f t="shared" si="28"/>
        <v/>
      </c>
      <c r="M345" s="30" t="str">
        <f t="shared" si="29"/>
        <v/>
      </c>
    </row>
    <row r="346" spans="1:13" x14ac:dyDescent="0.2">
      <c r="A346" s="35"/>
      <c r="B346" s="21"/>
      <c r="C346" s="18"/>
      <c r="D346" s="20"/>
      <c r="E346" s="20"/>
      <c r="F346" s="21"/>
      <c r="G346" s="21"/>
      <c r="H346" s="18"/>
      <c r="I346" s="30" t="str">
        <f t="shared" si="25"/>
        <v/>
      </c>
      <c r="J346" s="38" t="str">
        <f t="shared" si="26"/>
        <v/>
      </c>
      <c r="K346" s="30" t="str">
        <f t="shared" si="27"/>
        <v/>
      </c>
      <c r="L346" s="30" t="str">
        <f t="shared" si="28"/>
        <v/>
      </c>
      <c r="M346" s="30" t="str">
        <f t="shared" si="29"/>
        <v/>
      </c>
    </row>
    <row r="347" spans="1:13" x14ac:dyDescent="0.2">
      <c r="A347" s="35"/>
      <c r="B347" s="21"/>
      <c r="C347" s="18"/>
      <c r="D347" s="20"/>
      <c r="E347" s="20"/>
      <c r="F347" s="21"/>
      <c r="G347" s="21"/>
      <c r="H347" s="18"/>
      <c r="I347" s="30" t="str">
        <f t="shared" si="25"/>
        <v/>
      </c>
      <c r="J347" s="38" t="str">
        <f t="shared" si="26"/>
        <v/>
      </c>
      <c r="K347" s="30" t="str">
        <f t="shared" si="27"/>
        <v/>
      </c>
      <c r="L347" s="30" t="str">
        <f t="shared" si="28"/>
        <v/>
      </c>
      <c r="M347" s="30" t="str">
        <f t="shared" si="29"/>
        <v/>
      </c>
    </row>
    <row r="348" spans="1:13" x14ac:dyDescent="0.2">
      <c r="A348" s="35"/>
      <c r="B348" s="21"/>
      <c r="C348" s="18"/>
      <c r="D348" s="20"/>
      <c r="E348" s="20"/>
      <c r="F348" s="21"/>
      <c r="G348" s="21"/>
      <c r="H348" s="18"/>
      <c r="I348" s="30" t="str">
        <f t="shared" si="25"/>
        <v/>
      </c>
      <c r="J348" s="38" t="str">
        <f t="shared" si="26"/>
        <v/>
      </c>
      <c r="K348" s="30" t="str">
        <f t="shared" si="27"/>
        <v/>
      </c>
      <c r="L348" s="30" t="str">
        <f t="shared" si="28"/>
        <v/>
      </c>
      <c r="M348" s="30" t="str">
        <f t="shared" si="29"/>
        <v/>
      </c>
    </row>
    <row r="349" spans="1:13" x14ac:dyDescent="0.2">
      <c r="A349" s="35"/>
      <c r="B349" s="21"/>
      <c r="C349" s="18"/>
      <c r="D349" s="20"/>
      <c r="E349" s="20"/>
      <c r="F349" s="21"/>
      <c r="G349" s="21"/>
      <c r="H349" s="18"/>
      <c r="I349" s="30" t="str">
        <f t="shared" si="25"/>
        <v/>
      </c>
      <c r="J349" s="38" t="str">
        <f t="shared" si="26"/>
        <v/>
      </c>
      <c r="K349" s="30" t="str">
        <f t="shared" si="27"/>
        <v/>
      </c>
      <c r="L349" s="30" t="str">
        <f t="shared" si="28"/>
        <v/>
      </c>
      <c r="M349" s="30" t="str">
        <f t="shared" si="29"/>
        <v/>
      </c>
    </row>
    <row r="350" spans="1:13" x14ac:dyDescent="0.2">
      <c r="A350" s="35"/>
      <c r="B350" s="21"/>
      <c r="C350" s="18"/>
      <c r="D350" s="20"/>
      <c r="E350" s="20"/>
      <c r="F350" s="21"/>
      <c r="G350" s="21"/>
      <c r="H350" s="18"/>
      <c r="I350" s="30" t="str">
        <f t="shared" si="25"/>
        <v/>
      </c>
      <c r="J350" s="38" t="str">
        <f t="shared" si="26"/>
        <v/>
      </c>
      <c r="K350" s="30" t="str">
        <f t="shared" si="27"/>
        <v/>
      </c>
      <c r="L350" s="30" t="str">
        <f t="shared" si="28"/>
        <v/>
      </c>
      <c r="M350" s="30" t="str">
        <f t="shared" si="29"/>
        <v/>
      </c>
    </row>
    <row r="351" spans="1:13" x14ac:dyDescent="0.2">
      <c r="A351" s="35"/>
      <c r="B351" s="21"/>
      <c r="C351" s="18"/>
      <c r="D351" s="20"/>
      <c r="E351" s="20"/>
      <c r="F351" s="21"/>
      <c r="G351" s="21"/>
      <c r="H351" s="18"/>
      <c r="I351" s="30" t="str">
        <f t="shared" si="25"/>
        <v/>
      </c>
      <c r="J351" s="38" t="str">
        <f t="shared" si="26"/>
        <v/>
      </c>
      <c r="K351" s="30" t="str">
        <f t="shared" si="27"/>
        <v/>
      </c>
      <c r="L351" s="30" t="str">
        <f t="shared" si="28"/>
        <v/>
      </c>
      <c r="M351" s="30" t="str">
        <f t="shared" si="29"/>
        <v/>
      </c>
    </row>
    <row r="352" spans="1:13" x14ac:dyDescent="0.2">
      <c r="A352" s="35"/>
      <c r="B352" s="21"/>
      <c r="C352" s="18"/>
      <c r="D352" s="20"/>
      <c r="E352" s="20"/>
      <c r="F352" s="21"/>
      <c r="G352" s="21"/>
      <c r="H352" s="18"/>
      <c r="I352" s="30" t="str">
        <f t="shared" si="25"/>
        <v/>
      </c>
      <c r="J352" s="38" t="str">
        <f t="shared" si="26"/>
        <v/>
      </c>
      <c r="K352" s="30" t="str">
        <f t="shared" si="27"/>
        <v/>
      </c>
      <c r="L352" s="30" t="str">
        <f t="shared" si="28"/>
        <v/>
      </c>
      <c r="M352" s="30" t="str">
        <f t="shared" si="29"/>
        <v/>
      </c>
    </row>
    <row r="353" spans="1:13" x14ac:dyDescent="0.2">
      <c r="A353" s="35"/>
      <c r="B353" s="21"/>
      <c r="C353" s="18"/>
      <c r="D353" s="20"/>
      <c r="E353" s="20"/>
      <c r="F353" s="21"/>
      <c r="G353" s="21"/>
      <c r="H353" s="18"/>
      <c r="I353" s="30" t="str">
        <f t="shared" si="25"/>
        <v/>
      </c>
      <c r="J353" s="38" t="str">
        <f t="shared" si="26"/>
        <v/>
      </c>
      <c r="K353" s="30" t="str">
        <f t="shared" si="27"/>
        <v/>
      </c>
      <c r="L353" s="30" t="str">
        <f t="shared" si="28"/>
        <v/>
      </c>
      <c r="M353" s="30" t="str">
        <f t="shared" si="29"/>
        <v/>
      </c>
    </row>
    <row r="354" spans="1:13" x14ac:dyDescent="0.2">
      <c r="A354" s="35"/>
      <c r="B354" s="21"/>
      <c r="C354" s="18"/>
      <c r="D354" s="20"/>
      <c r="E354" s="20"/>
      <c r="F354" s="21"/>
      <c r="G354" s="21"/>
      <c r="H354" s="18"/>
      <c r="I354" s="30" t="str">
        <f t="shared" si="25"/>
        <v/>
      </c>
      <c r="J354" s="38" t="str">
        <f t="shared" si="26"/>
        <v/>
      </c>
      <c r="K354" s="30" t="str">
        <f t="shared" si="27"/>
        <v/>
      </c>
      <c r="L354" s="30" t="str">
        <f t="shared" si="28"/>
        <v/>
      </c>
      <c r="M354" s="30" t="str">
        <f t="shared" si="29"/>
        <v/>
      </c>
    </row>
    <row r="355" spans="1:13" x14ac:dyDescent="0.2">
      <c r="A355" s="35"/>
      <c r="B355" s="21"/>
      <c r="C355" s="18"/>
      <c r="D355" s="20"/>
      <c r="E355" s="20"/>
      <c r="F355" s="21"/>
      <c r="G355" s="21"/>
      <c r="H355" s="18"/>
      <c r="I355" s="30" t="str">
        <f t="shared" si="25"/>
        <v/>
      </c>
      <c r="J355" s="38" t="str">
        <f t="shared" si="26"/>
        <v/>
      </c>
      <c r="K355" s="30" t="str">
        <f t="shared" si="27"/>
        <v/>
      </c>
      <c r="L355" s="30" t="str">
        <f t="shared" si="28"/>
        <v/>
      </c>
      <c r="M355" s="30" t="str">
        <f t="shared" si="29"/>
        <v/>
      </c>
    </row>
    <row r="356" spans="1:13" x14ac:dyDescent="0.2">
      <c r="A356" s="35"/>
      <c r="B356" s="21"/>
      <c r="C356" s="18"/>
      <c r="D356" s="20"/>
      <c r="E356" s="20"/>
      <c r="F356" s="21"/>
      <c r="G356" s="21"/>
      <c r="H356" s="18"/>
      <c r="I356" s="30" t="str">
        <f t="shared" si="25"/>
        <v/>
      </c>
      <c r="J356" s="38" t="str">
        <f t="shared" si="26"/>
        <v/>
      </c>
      <c r="K356" s="30" t="str">
        <f t="shared" si="27"/>
        <v/>
      </c>
      <c r="L356" s="30" t="str">
        <f t="shared" si="28"/>
        <v/>
      </c>
      <c r="M356" s="30" t="str">
        <f t="shared" si="29"/>
        <v/>
      </c>
    </row>
    <row r="357" spans="1:13" x14ac:dyDescent="0.2">
      <c r="A357" s="35"/>
      <c r="B357" s="21"/>
      <c r="C357" s="18"/>
      <c r="D357" s="20"/>
      <c r="E357" s="20"/>
      <c r="F357" s="21"/>
      <c r="G357" s="21"/>
      <c r="H357" s="18"/>
      <c r="I357" s="30" t="str">
        <f t="shared" si="25"/>
        <v/>
      </c>
      <c r="J357" s="38" t="str">
        <f t="shared" si="26"/>
        <v/>
      </c>
      <c r="K357" s="30" t="str">
        <f t="shared" si="27"/>
        <v/>
      </c>
      <c r="L357" s="30" t="str">
        <f t="shared" si="28"/>
        <v/>
      </c>
      <c r="M357" s="30" t="str">
        <f t="shared" si="29"/>
        <v/>
      </c>
    </row>
    <row r="358" spans="1:13" x14ac:dyDescent="0.2">
      <c r="A358" s="35"/>
      <c r="B358" s="21"/>
      <c r="C358" s="18"/>
      <c r="D358" s="20"/>
      <c r="E358" s="20"/>
      <c r="F358" s="21"/>
      <c r="G358" s="21"/>
      <c r="H358" s="18"/>
      <c r="I358" s="30" t="str">
        <f t="shared" si="25"/>
        <v/>
      </c>
      <c r="J358" s="38" t="str">
        <f t="shared" si="26"/>
        <v/>
      </c>
      <c r="K358" s="30" t="str">
        <f t="shared" si="27"/>
        <v/>
      </c>
      <c r="L358" s="30" t="str">
        <f t="shared" si="28"/>
        <v/>
      </c>
      <c r="M358" s="30" t="str">
        <f t="shared" si="29"/>
        <v/>
      </c>
    </row>
    <row r="359" spans="1:13" x14ac:dyDescent="0.2">
      <c r="A359" s="35"/>
      <c r="B359" s="21"/>
      <c r="C359" s="18"/>
      <c r="D359" s="20"/>
      <c r="E359" s="20"/>
      <c r="F359" s="21"/>
      <c r="G359" s="21"/>
      <c r="H359" s="18"/>
      <c r="I359" s="30" t="str">
        <f t="shared" si="25"/>
        <v/>
      </c>
      <c r="J359" s="38" t="str">
        <f t="shared" si="26"/>
        <v/>
      </c>
      <c r="K359" s="30" t="str">
        <f t="shared" si="27"/>
        <v/>
      </c>
      <c r="L359" s="30" t="str">
        <f t="shared" si="28"/>
        <v/>
      </c>
      <c r="M359" s="30" t="str">
        <f t="shared" si="29"/>
        <v/>
      </c>
    </row>
    <row r="360" spans="1:13" x14ac:dyDescent="0.2">
      <c r="A360" s="35"/>
      <c r="B360" s="21"/>
      <c r="C360" s="18"/>
      <c r="D360" s="20"/>
      <c r="E360" s="20"/>
      <c r="F360" s="21"/>
      <c r="G360" s="21"/>
      <c r="H360" s="18"/>
      <c r="I360" s="30" t="str">
        <f t="shared" si="25"/>
        <v/>
      </c>
      <c r="J360" s="38" t="str">
        <f t="shared" si="26"/>
        <v/>
      </c>
      <c r="K360" s="30" t="str">
        <f t="shared" si="27"/>
        <v/>
      </c>
      <c r="L360" s="30" t="str">
        <f t="shared" si="28"/>
        <v/>
      </c>
      <c r="M360" s="30" t="str">
        <f t="shared" si="29"/>
        <v/>
      </c>
    </row>
    <row r="361" spans="1:13" x14ac:dyDescent="0.2">
      <c r="A361" s="35"/>
      <c r="B361" s="21"/>
      <c r="C361" s="18"/>
      <c r="D361" s="20"/>
      <c r="E361" s="20"/>
      <c r="F361" s="21"/>
      <c r="G361" s="21"/>
      <c r="H361" s="18"/>
      <c r="I361" s="30" t="str">
        <f t="shared" si="25"/>
        <v/>
      </c>
      <c r="J361" s="38" t="str">
        <f t="shared" si="26"/>
        <v/>
      </c>
      <c r="K361" s="30" t="str">
        <f t="shared" si="27"/>
        <v/>
      </c>
      <c r="L361" s="30" t="str">
        <f t="shared" si="28"/>
        <v/>
      </c>
      <c r="M361" s="30" t="str">
        <f t="shared" si="29"/>
        <v/>
      </c>
    </row>
    <row r="362" spans="1:13" x14ac:dyDescent="0.2">
      <c r="A362" s="35"/>
      <c r="B362" s="21"/>
      <c r="C362" s="18"/>
      <c r="D362" s="20"/>
      <c r="E362" s="20"/>
      <c r="F362" s="21"/>
      <c r="G362" s="21"/>
      <c r="H362" s="18"/>
      <c r="I362" s="30" t="str">
        <f t="shared" si="25"/>
        <v/>
      </c>
      <c r="J362" s="38" t="str">
        <f t="shared" si="26"/>
        <v/>
      </c>
      <c r="K362" s="30" t="str">
        <f t="shared" si="27"/>
        <v/>
      </c>
      <c r="L362" s="30" t="str">
        <f t="shared" si="28"/>
        <v/>
      </c>
      <c r="M362" s="30" t="str">
        <f t="shared" si="29"/>
        <v/>
      </c>
    </row>
    <row r="363" spans="1:13" x14ac:dyDescent="0.2">
      <c r="A363" s="35"/>
      <c r="B363" s="21"/>
      <c r="C363" s="18"/>
      <c r="D363" s="20"/>
      <c r="E363" s="20"/>
      <c r="F363" s="21"/>
      <c r="G363" s="21"/>
      <c r="H363" s="18"/>
      <c r="I363" s="30" t="str">
        <f t="shared" si="25"/>
        <v/>
      </c>
      <c r="J363" s="38" t="str">
        <f t="shared" si="26"/>
        <v/>
      </c>
      <c r="K363" s="30" t="str">
        <f t="shared" si="27"/>
        <v/>
      </c>
      <c r="L363" s="30" t="str">
        <f t="shared" si="28"/>
        <v/>
      </c>
      <c r="M363" s="30" t="str">
        <f t="shared" si="29"/>
        <v/>
      </c>
    </row>
    <row r="364" spans="1:13" x14ac:dyDescent="0.2">
      <c r="A364" s="35"/>
      <c r="B364" s="21"/>
      <c r="C364" s="18"/>
      <c r="D364" s="20"/>
      <c r="E364" s="20"/>
      <c r="F364" s="21"/>
      <c r="G364" s="21"/>
      <c r="H364" s="18"/>
      <c r="I364" s="30" t="str">
        <f t="shared" si="25"/>
        <v/>
      </c>
      <c r="J364" s="38" t="str">
        <f t="shared" si="26"/>
        <v/>
      </c>
      <c r="K364" s="30" t="str">
        <f t="shared" si="27"/>
        <v/>
      </c>
      <c r="L364" s="30" t="str">
        <f t="shared" si="28"/>
        <v/>
      </c>
      <c r="M364" s="30" t="str">
        <f t="shared" si="29"/>
        <v/>
      </c>
    </row>
    <row r="365" spans="1:13" x14ac:dyDescent="0.2">
      <c r="A365" s="35"/>
      <c r="B365" s="21"/>
      <c r="C365" s="18"/>
      <c r="D365" s="20"/>
      <c r="E365" s="20"/>
      <c r="F365" s="21"/>
      <c r="G365" s="21"/>
      <c r="H365" s="18"/>
      <c r="I365" s="30" t="str">
        <f t="shared" si="25"/>
        <v/>
      </c>
      <c r="J365" s="38" t="str">
        <f t="shared" si="26"/>
        <v/>
      </c>
      <c r="K365" s="30" t="str">
        <f t="shared" si="27"/>
        <v/>
      </c>
      <c r="L365" s="30" t="str">
        <f t="shared" si="28"/>
        <v/>
      </c>
      <c r="M365" s="30" t="str">
        <f t="shared" si="29"/>
        <v/>
      </c>
    </row>
    <row r="366" spans="1:13" x14ac:dyDescent="0.2">
      <c r="A366" s="35"/>
      <c r="B366" s="21"/>
      <c r="C366" s="18"/>
      <c r="D366" s="20"/>
      <c r="E366" s="20"/>
      <c r="F366" s="21"/>
      <c r="G366" s="21"/>
      <c r="H366" s="18"/>
      <c r="I366" s="30" t="str">
        <f t="shared" si="25"/>
        <v/>
      </c>
      <c r="J366" s="38" t="str">
        <f t="shared" si="26"/>
        <v/>
      </c>
      <c r="K366" s="30" t="str">
        <f t="shared" si="27"/>
        <v/>
      </c>
      <c r="L366" s="30" t="str">
        <f t="shared" si="28"/>
        <v/>
      </c>
      <c r="M366" s="30" t="str">
        <f t="shared" si="29"/>
        <v/>
      </c>
    </row>
    <row r="367" spans="1:13" x14ac:dyDescent="0.2">
      <c r="A367" s="35"/>
      <c r="B367" s="21"/>
      <c r="C367" s="18"/>
      <c r="D367" s="20"/>
      <c r="E367" s="20"/>
      <c r="F367" s="21"/>
      <c r="G367" s="21"/>
      <c r="H367" s="18"/>
      <c r="I367" s="30" t="str">
        <f t="shared" si="25"/>
        <v/>
      </c>
      <c r="J367" s="38" t="str">
        <f t="shared" si="26"/>
        <v/>
      </c>
      <c r="K367" s="30" t="str">
        <f t="shared" si="27"/>
        <v/>
      </c>
      <c r="L367" s="30" t="str">
        <f t="shared" si="28"/>
        <v/>
      </c>
      <c r="M367" s="30" t="str">
        <f t="shared" si="29"/>
        <v/>
      </c>
    </row>
    <row r="368" spans="1:13" x14ac:dyDescent="0.2">
      <c r="A368" s="35"/>
      <c r="B368" s="21"/>
      <c r="C368" s="18"/>
      <c r="D368" s="20"/>
      <c r="E368" s="20"/>
      <c r="F368" s="21"/>
      <c r="G368" s="21"/>
      <c r="H368" s="18"/>
      <c r="I368" s="30" t="str">
        <f t="shared" si="25"/>
        <v/>
      </c>
      <c r="J368" s="38" t="str">
        <f t="shared" si="26"/>
        <v/>
      </c>
      <c r="K368" s="30" t="str">
        <f t="shared" si="27"/>
        <v/>
      </c>
      <c r="L368" s="30" t="str">
        <f t="shared" si="28"/>
        <v/>
      </c>
      <c r="M368" s="30" t="str">
        <f t="shared" si="29"/>
        <v/>
      </c>
    </row>
    <row r="369" spans="1:13" x14ac:dyDescent="0.2">
      <c r="A369" s="35"/>
      <c r="B369" s="21"/>
      <c r="C369" s="18"/>
      <c r="D369" s="20"/>
      <c r="E369" s="20"/>
      <c r="F369" s="21"/>
      <c r="G369" s="21"/>
      <c r="H369" s="18"/>
      <c r="I369" s="30" t="str">
        <f t="shared" si="25"/>
        <v/>
      </c>
      <c r="J369" s="38" t="str">
        <f t="shared" si="26"/>
        <v/>
      </c>
      <c r="K369" s="30" t="str">
        <f t="shared" si="27"/>
        <v/>
      </c>
      <c r="L369" s="30" t="str">
        <f t="shared" si="28"/>
        <v/>
      </c>
      <c r="M369" s="30" t="str">
        <f t="shared" si="29"/>
        <v/>
      </c>
    </row>
    <row r="370" spans="1:13" x14ac:dyDescent="0.2">
      <c r="A370" s="35"/>
      <c r="B370" s="21"/>
      <c r="C370" s="18"/>
      <c r="D370" s="20"/>
      <c r="E370" s="20"/>
      <c r="F370" s="21"/>
      <c r="G370" s="21"/>
      <c r="H370" s="18"/>
      <c r="I370" s="30" t="str">
        <f t="shared" si="25"/>
        <v/>
      </c>
      <c r="J370" s="38" t="str">
        <f t="shared" si="26"/>
        <v/>
      </c>
      <c r="K370" s="30" t="str">
        <f t="shared" si="27"/>
        <v/>
      </c>
      <c r="L370" s="30" t="str">
        <f t="shared" si="28"/>
        <v/>
      </c>
      <c r="M370" s="30" t="str">
        <f t="shared" si="29"/>
        <v/>
      </c>
    </row>
    <row r="371" spans="1:13" x14ac:dyDescent="0.2">
      <c r="A371" s="35"/>
      <c r="B371" s="21"/>
      <c r="C371" s="18"/>
      <c r="D371" s="20"/>
      <c r="E371" s="20"/>
      <c r="F371" s="21"/>
      <c r="G371" s="21"/>
      <c r="H371" s="18"/>
      <c r="I371" s="30" t="str">
        <f t="shared" si="25"/>
        <v/>
      </c>
      <c r="J371" s="38" t="str">
        <f t="shared" si="26"/>
        <v/>
      </c>
      <c r="K371" s="30" t="str">
        <f t="shared" si="27"/>
        <v/>
      </c>
      <c r="L371" s="30" t="str">
        <f t="shared" si="28"/>
        <v/>
      </c>
      <c r="M371" s="30" t="str">
        <f t="shared" si="29"/>
        <v/>
      </c>
    </row>
    <row r="372" spans="1:13" x14ac:dyDescent="0.2">
      <c r="A372" s="35"/>
      <c r="B372" s="21"/>
      <c r="C372" s="18"/>
      <c r="D372" s="20"/>
      <c r="E372" s="20"/>
      <c r="F372" s="21"/>
      <c r="G372" s="21"/>
      <c r="H372" s="18"/>
      <c r="I372" s="30" t="str">
        <f t="shared" si="25"/>
        <v/>
      </c>
      <c r="J372" s="38" t="str">
        <f t="shared" si="26"/>
        <v/>
      </c>
      <c r="K372" s="30" t="str">
        <f t="shared" si="27"/>
        <v/>
      </c>
      <c r="L372" s="30" t="str">
        <f t="shared" si="28"/>
        <v/>
      </c>
      <c r="M372" s="30" t="str">
        <f t="shared" si="29"/>
        <v/>
      </c>
    </row>
    <row r="373" spans="1:13" x14ac:dyDescent="0.2">
      <c r="A373" s="35"/>
      <c r="B373" s="21"/>
      <c r="C373" s="18"/>
      <c r="D373" s="20"/>
      <c r="E373" s="20"/>
      <c r="F373" s="21"/>
      <c r="G373" s="21"/>
      <c r="H373" s="18"/>
      <c r="I373" s="30" t="str">
        <f t="shared" si="25"/>
        <v/>
      </c>
      <c r="J373" s="38" t="str">
        <f t="shared" si="26"/>
        <v/>
      </c>
      <c r="K373" s="30" t="str">
        <f t="shared" si="27"/>
        <v/>
      </c>
      <c r="L373" s="30" t="str">
        <f t="shared" si="28"/>
        <v/>
      </c>
      <c r="M373" s="30" t="str">
        <f t="shared" si="29"/>
        <v/>
      </c>
    </row>
    <row r="374" spans="1:13" x14ac:dyDescent="0.2">
      <c r="A374" s="35"/>
      <c r="B374" s="21"/>
      <c r="C374" s="18"/>
      <c r="D374" s="20"/>
      <c r="E374" s="20"/>
      <c r="F374" s="21"/>
      <c r="G374" s="21"/>
      <c r="H374" s="18"/>
      <c r="I374" s="30" t="str">
        <f t="shared" si="25"/>
        <v/>
      </c>
      <c r="J374" s="38" t="str">
        <f t="shared" si="26"/>
        <v/>
      </c>
      <c r="K374" s="30" t="str">
        <f t="shared" si="27"/>
        <v/>
      </c>
      <c r="L374" s="30" t="str">
        <f t="shared" si="28"/>
        <v/>
      </c>
      <c r="M374" s="30" t="str">
        <f t="shared" si="29"/>
        <v/>
      </c>
    </row>
    <row r="375" spans="1:13" x14ac:dyDescent="0.2">
      <c r="A375" s="35"/>
      <c r="B375" s="21"/>
      <c r="C375" s="18"/>
      <c r="D375" s="20"/>
      <c r="E375" s="20"/>
      <c r="F375" s="21"/>
      <c r="G375" s="21"/>
      <c r="H375" s="18"/>
      <c r="I375" s="30" t="str">
        <f t="shared" si="25"/>
        <v/>
      </c>
      <c r="J375" s="38" t="str">
        <f t="shared" si="26"/>
        <v/>
      </c>
      <c r="K375" s="30" t="str">
        <f t="shared" si="27"/>
        <v/>
      </c>
      <c r="L375" s="30" t="str">
        <f t="shared" si="28"/>
        <v/>
      </c>
      <c r="M375" s="30" t="str">
        <f t="shared" si="29"/>
        <v/>
      </c>
    </row>
    <row r="376" spans="1:13" x14ac:dyDescent="0.2">
      <c r="A376" s="35"/>
      <c r="B376" s="21"/>
      <c r="C376" s="18"/>
      <c r="D376" s="20"/>
      <c r="E376" s="20"/>
      <c r="F376" s="21"/>
      <c r="G376" s="21"/>
      <c r="H376" s="18"/>
      <c r="I376" s="30" t="str">
        <f t="shared" si="25"/>
        <v/>
      </c>
      <c r="J376" s="38" t="str">
        <f t="shared" si="26"/>
        <v/>
      </c>
      <c r="K376" s="30" t="str">
        <f t="shared" si="27"/>
        <v/>
      </c>
      <c r="L376" s="30" t="str">
        <f t="shared" si="28"/>
        <v/>
      </c>
      <c r="M376" s="30" t="str">
        <f t="shared" si="29"/>
        <v/>
      </c>
    </row>
    <row r="377" spans="1:13" x14ac:dyDescent="0.2">
      <c r="A377" s="35"/>
      <c r="B377" s="21"/>
      <c r="C377" s="18"/>
      <c r="D377" s="20"/>
      <c r="E377" s="20"/>
      <c r="F377" s="21"/>
      <c r="G377" s="21"/>
      <c r="H377" s="18"/>
      <c r="I377" s="30" t="str">
        <f t="shared" si="25"/>
        <v/>
      </c>
      <c r="J377" s="38" t="str">
        <f t="shared" si="26"/>
        <v/>
      </c>
      <c r="K377" s="30" t="str">
        <f t="shared" si="27"/>
        <v/>
      </c>
      <c r="L377" s="30" t="str">
        <f t="shared" si="28"/>
        <v/>
      </c>
      <c r="M377" s="30" t="str">
        <f t="shared" si="29"/>
        <v/>
      </c>
    </row>
    <row r="378" spans="1:13" x14ac:dyDescent="0.2">
      <c r="A378" s="35"/>
      <c r="B378" s="21"/>
      <c r="C378" s="18"/>
      <c r="D378" s="20"/>
      <c r="E378" s="20"/>
      <c r="F378" s="21"/>
      <c r="G378" s="21"/>
      <c r="H378" s="18"/>
      <c r="I378" s="30" t="str">
        <f t="shared" si="25"/>
        <v/>
      </c>
      <c r="J378" s="38" t="str">
        <f t="shared" si="26"/>
        <v/>
      </c>
      <c r="K378" s="30" t="str">
        <f t="shared" si="27"/>
        <v/>
      </c>
      <c r="L378" s="30" t="str">
        <f t="shared" si="28"/>
        <v/>
      </c>
      <c r="M378" s="30" t="str">
        <f t="shared" si="29"/>
        <v/>
      </c>
    </row>
    <row r="379" spans="1:13" x14ac:dyDescent="0.2">
      <c r="A379" s="35"/>
      <c r="B379" s="21"/>
      <c r="C379" s="18"/>
      <c r="D379" s="20"/>
      <c r="E379" s="20"/>
      <c r="F379" s="21"/>
      <c r="G379" s="21"/>
      <c r="H379" s="18"/>
      <c r="I379" s="30" t="str">
        <f t="shared" si="25"/>
        <v/>
      </c>
      <c r="J379" s="38" t="str">
        <f t="shared" si="26"/>
        <v/>
      </c>
      <c r="K379" s="30" t="str">
        <f t="shared" si="27"/>
        <v/>
      </c>
      <c r="L379" s="30" t="str">
        <f t="shared" si="28"/>
        <v/>
      </c>
      <c r="M379" s="30" t="str">
        <f t="shared" si="29"/>
        <v/>
      </c>
    </row>
    <row r="380" spans="1:13" x14ac:dyDescent="0.2">
      <c r="A380" s="35"/>
      <c r="B380" s="21"/>
      <c r="C380" s="18"/>
      <c r="D380" s="20"/>
      <c r="E380" s="20"/>
      <c r="F380" s="21"/>
      <c r="G380" s="21"/>
      <c r="H380" s="18"/>
      <c r="I380" s="30" t="str">
        <f t="shared" si="25"/>
        <v/>
      </c>
      <c r="J380" s="38" t="str">
        <f t="shared" si="26"/>
        <v/>
      </c>
      <c r="K380" s="30" t="str">
        <f t="shared" si="27"/>
        <v/>
      </c>
      <c r="L380" s="30" t="str">
        <f t="shared" si="28"/>
        <v/>
      </c>
      <c r="M380" s="30" t="str">
        <f t="shared" si="29"/>
        <v/>
      </c>
    </row>
    <row r="381" spans="1:13" x14ac:dyDescent="0.2">
      <c r="A381" s="35"/>
      <c r="B381" s="21"/>
      <c r="C381" s="18"/>
      <c r="D381" s="20"/>
      <c r="E381" s="20"/>
      <c r="F381" s="21"/>
      <c r="G381" s="21"/>
      <c r="H381" s="18"/>
      <c r="I381" s="30" t="str">
        <f t="shared" si="25"/>
        <v/>
      </c>
      <c r="J381" s="38" t="str">
        <f t="shared" si="26"/>
        <v/>
      </c>
      <c r="K381" s="30" t="str">
        <f t="shared" si="27"/>
        <v/>
      </c>
      <c r="L381" s="30" t="str">
        <f t="shared" si="28"/>
        <v/>
      </c>
      <c r="M381" s="30" t="str">
        <f t="shared" si="29"/>
        <v/>
      </c>
    </row>
    <row r="382" spans="1:13" x14ac:dyDescent="0.2">
      <c r="A382" s="35"/>
      <c r="B382" s="21"/>
      <c r="C382" s="18"/>
      <c r="D382" s="20"/>
      <c r="E382" s="20"/>
      <c r="F382" s="21"/>
      <c r="G382" s="21"/>
      <c r="H382" s="18"/>
      <c r="I382" s="30" t="str">
        <f t="shared" si="25"/>
        <v/>
      </c>
      <c r="J382" s="38" t="str">
        <f t="shared" si="26"/>
        <v/>
      </c>
      <c r="K382" s="30" t="str">
        <f t="shared" si="27"/>
        <v/>
      </c>
      <c r="L382" s="30" t="str">
        <f t="shared" si="28"/>
        <v/>
      </c>
      <c r="M382" s="30" t="str">
        <f t="shared" si="29"/>
        <v/>
      </c>
    </row>
    <row r="383" spans="1:13" x14ac:dyDescent="0.2">
      <c r="A383" s="35"/>
      <c r="B383" s="21"/>
      <c r="C383" s="18"/>
      <c r="D383" s="20"/>
      <c r="E383" s="20"/>
      <c r="F383" s="21"/>
      <c r="G383" s="21"/>
      <c r="H383" s="18"/>
      <c r="I383" s="30" t="str">
        <f t="shared" si="25"/>
        <v/>
      </c>
      <c r="J383" s="38" t="str">
        <f t="shared" si="26"/>
        <v/>
      </c>
      <c r="K383" s="30" t="str">
        <f t="shared" si="27"/>
        <v/>
      </c>
      <c r="L383" s="30" t="str">
        <f t="shared" si="28"/>
        <v/>
      </c>
      <c r="M383" s="30" t="str">
        <f t="shared" si="29"/>
        <v/>
      </c>
    </row>
    <row r="384" spans="1:13" x14ac:dyDescent="0.2">
      <c r="A384" s="35"/>
      <c r="B384" s="21"/>
      <c r="C384" s="18"/>
      <c r="D384" s="20"/>
      <c r="E384" s="20"/>
      <c r="F384" s="21"/>
      <c r="G384" s="21"/>
      <c r="H384" s="18"/>
      <c r="I384" s="30" t="str">
        <f t="shared" si="25"/>
        <v/>
      </c>
      <c r="J384" s="38" t="str">
        <f t="shared" si="26"/>
        <v/>
      </c>
      <c r="K384" s="30" t="str">
        <f t="shared" si="27"/>
        <v/>
      </c>
      <c r="L384" s="30" t="str">
        <f t="shared" si="28"/>
        <v/>
      </c>
      <c r="M384" s="30" t="str">
        <f t="shared" si="29"/>
        <v/>
      </c>
    </row>
    <row r="385" spans="1:13" x14ac:dyDescent="0.2">
      <c r="A385" s="35"/>
      <c r="B385" s="21"/>
      <c r="C385" s="18"/>
      <c r="D385" s="20"/>
      <c r="E385" s="20"/>
      <c r="F385" s="21"/>
      <c r="G385" s="21"/>
      <c r="H385" s="18"/>
      <c r="I385" s="30" t="str">
        <f t="shared" si="25"/>
        <v/>
      </c>
      <c r="J385" s="38" t="str">
        <f t="shared" si="26"/>
        <v/>
      </c>
      <c r="K385" s="30" t="str">
        <f t="shared" si="27"/>
        <v/>
      </c>
      <c r="L385" s="30" t="str">
        <f t="shared" si="28"/>
        <v/>
      </c>
      <c r="M385" s="30" t="str">
        <f t="shared" si="29"/>
        <v/>
      </c>
    </row>
    <row r="386" spans="1:13" x14ac:dyDescent="0.2">
      <c r="A386" s="35"/>
      <c r="B386" s="21"/>
      <c r="C386" s="18"/>
      <c r="D386" s="20"/>
      <c r="E386" s="20"/>
      <c r="F386" s="21"/>
      <c r="G386" s="21"/>
      <c r="H386" s="18"/>
      <c r="I386" s="30" t="str">
        <f t="shared" si="25"/>
        <v/>
      </c>
      <c r="J386" s="38" t="str">
        <f t="shared" si="26"/>
        <v/>
      </c>
      <c r="K386" s="30" t="str">
        <f t="shared" si="27"/>
        <v/>
      </c>
      <c r="L386" s="30" t="str">
        <f t="shared" si="28"/>
        <v/>
      </c>
      <c r="M386" s="30" t="str">
        <f t="shared" si="29"/>
        <v/>
      </c>
    </row>
    <row r="387" spans="1:13" x14ac:dyDescent="0.2">
      <c r="A387" s="35"/>
      <c r="B387" s="21"/>
      <c r="C387" s="18"/>
      <c r="D387" s="20"/>
      <c r="E387" s="20"/>
      <c r="F387" s="21"/>
      <c r="G387" s="21"/>
      <c r="H387" s="18"/>
      <c r="I387" s="30" t="str">
        <f t="shared" si="25"/>
        <v/>
      </c>
      <c r="J387" s="38" t="str">
        <f t="shared" si="26"/>
        <v/>
      </c>
      <c r="K387" s="30" t="str">
        <f t="shared" si="27"/>
        <v/>
      </c>
      <c r="L387" s="30" t="str">
        <f t="shared" si="28"/>
        <v/>
      </c>
      <c r="M387" s="30" t="str">
        <f t="shared" si="29"/>
        <v/>
      </c>
    </row>
    <row r="388" spans="1:13" x14ac:dyDescent="0.2">
      <c r="A388" s="35"/>
      <c r="B388" s="21"/>
      <c r="C388" s="18"/>
      <c r="D388" s="20"/>
      <c r="E388" s="20"/>
      <c r="F388" s="21"/>
      <c r="G388" s="21"/>
      <c r="H388" s="18"/>
      <c r="I388" s="30" t="str">
        <f t="shared" si="25"/>
        <v/>
      </c>
      <c r="J388" s="38" t="str">
        <f t="shared" si="26"/>
        <v/>
      </c>
      <c r="K388" s="30" t="str">
        <f t="shared" si="27"/>
        <v/>
      </c>
      <c r="L388" s="30" t="str">
        <f t="shared" si="28"/>
        <v/>
      </c>
      <c r="M388" s="30" t="str">
        <f t="shared" si="29"/>
        <v/>
      </c>
    </row>
    <row r="389" spans="1:13" x14ac:dyDescent="0.2">
      <c r="A389" s="35"/>
      <c r="B389" s="21"/>
      <c r="C389" s="18"/>
      <c r="D389" s="20"/>
      <c r="E389" s="20"/>
      <c r="F389" s="21"/>
      <c r="G389" s="21"/>
      <c r="H389" s="18"/>
      <c r="I389" s="30" t="str">
        <f t="shared" si="25"/>
        <v/>
      </c>
      <c r="J389" s="38" t="str">
        <f t="shared" si="26"/>
        <v/>
      </c>
      <c r="K389" s="30" t="str">
        <f t="shared" si="27"/>
        <v/>
      </c>
      <c r="L389" s="30" t="str">
        <f t="shared" si="28"/>
        <v/>
      </c>
      <c r="M389" s="30" t="str">
        <f t="shared" si="29"/>
        <v/>
      </c>
    </row>
    <row r="390" spans="1:13" x14ac:dyDescent="0.2">
      <c r="A390" s="35"/>
      <c r="B390" s="21"/>
      <c r="C390" s="18"/>
      <c r="D390" s="20"/>
      <c r="E390" s="20"/>
      <c r="F390" s="21"/>
      <c r="G390" s="21"/>
      <c r="H390" s="18"/>
      <c r="I390" s="30" t="str">
        <f t="shared" ref="I390:I453" si="30">IF(OR(D390="",E390=""),"",ROUND(MOD(E390-D390,1)*1440,0))</f>
        <v/>
      </c>
      <c r="J390" s="38" t="str">
        <f t="shared" ref="J390:J453" si="31">IF(F390="","",IFERROR(INDEX(LYDO_TEN,MATCH(F390,DS_LYDO,0)),"?"))</f>
        <v/>
      </c>
      <c r="K390" s="30" t="str">
        <f t="shared" ref="K390:K453" si="32">IF(F390="","",IFERROR(INDEX(LYDO_LOAI,MATCH(F390,DS_LYDO,0)),"?"))</f>
        <v/>
      </c>
      <c r="L390" s="30" t="str">
        <f t="shared" ref="L390:L453" si="33">IF(F390="","",IFERROR(INDEX(LYDO_BP,MATCH(F390,DS_LYDO,0)),"?"))</f>
        <v/>
      </c>
      <c r="M390" s="30" t="str">
        <f t="shared" ref="M390:M453" si="34">IF(I390="","",IF(MOD(I390,5)=0,1,0))</f>
        <v/>
      </c>
    </row>
    <row r="391" spans="1:13" x14ac:dyDescent="0.2">
      <c r="A391" s="35"/>
      <c r="B391" s="21"/>
      <c r="C391" s="18"/>
      <c r="D391" s="20"/>
      <c r="E391" s="20"/>
      <c r="F391" s="21"/>
      <c r="G391" s="21"/>
      <c r="H391" s="18"/>
      <c r="I391" s="30" t="str">
        <f t="shared" si="30"/>
        <v/>
      </c>
      <c r="J391" s="38" t="str">
        <f t="shared" si="31"/>
        <v/>
      </c>
      <c r="K391" s="30" t="str">
        <f t="shared" si="32"/>
        <v/>
      </c>
      <c r="L391" s="30" t="str">
        <f t="shared" si="33"/>
        <v/>
      </c>
      <c r="M391" s="30" t="str">
        <f t="shared" si="34"/>
        <v/>
      </c>
    </row>
    <row r="392" spans="1:13" x14ac:dyDescent="0.2">
      <c r="A392" s="35"/>
      <c r="B392" s="21"/>
      <c r="C392" s="18"/>
      <c r="D392" s="20"/>
      <c r="E392" s="20"/>
      <c r="F392" s="21"/>
      <c r="G392" s="21"/>
      <c r="H392" s="18"/>
      <c r="I392" s="30" t="str">
        <f t="shared" si="30"/>
        <v/>
      </c>
      <c r="J392" s="38" t="str">
        <f t="shared" si="31"/>
        <v/>
      </c>
      <c r="K392" s="30" t="str">
        <f t="shared" si="32"/>
        <v/>
      </c>
      <c r="L392" s="30" t="str">
        <f t="shared" si="33"/>
        <v/>
      </c>
      <c r="M392" s="30" t="str">
        <f t="shared" si="34"/>
        <v/>
      </c>
    </row>
    <row r="393" spans="1:13" x14ac:dyDescent="0.2">
      <c r="A393" s="35"/>
      <c r="B393" s="21"/>
      <c r="C393" s="18"/>
      <c r="D393" s="20"/>
      <c r="E393" s="20"/>
      <c r="F393" s="21"/>
      <c r="G393" s="21"/>
      <c r="H393" s="18"/>
      <c r="I393" s="30" t="str">
        <f t="shared" si="30"/>
        <v/>
      </c>
      <c r="J393" s="38" t="str">
        <f t="shared" si="31"/>
        <v/>
      </c>
      <c r="K393" s="30" t="str">
        <f t="shared" si="32"/>
        <v/>
      </c>
      <c r="L393" s="30" t="str">
        <f t="shared" si="33"/>
        <v/>
      </c>
      <c r="M393" s="30" t="str">
        <f t="shared" si="34"/>
        <v/>
      </c>
    </row>
    <row r="394" spans="1:13" x14ac:dyDescent="0.2">
      <c r="A394" s="35"/>
      <c r="B394" s="21"/>
      <c r="C394" s="18"/>
      <c r="D394" s="20"/>
      <c r="E394" s="20"/>
      <c r="F394" s="21"/>
      <c r="G394" s="21"/>
      <c r="H394" s="18"/>
      <c r="I394" s="30" t="str">
        <f t="shared" si="30"/>
        <v/>
      </c>
      <c r="J394" s="38" t="str">
        <f t="shared" si="31"/>
        <v/>
      </c>
      <c r="K394" s="30" t="str">
        <f t="shared" si="32"/>
        <v/>
      </c>
      <c r="L394" s="30" t="str">
        <f t="shared" si="33"/>
        <v/>
      </c>
      <c r="M394" s="30" t="str">
        <f t="shared" si="34"/>
        <v/>
      </c>
    </row>
    <row r="395" spans="1:13" x14ac:dyDescent="0.2">
      <c r="A395" s="35"/>
      <c r="B395" s="21"/>
      <c r="C395" s="18"/>
      <c r="D395" s="20"/>
      <c r="E395" s="20"/>
      <c r="F395" s="21"/>
      <c r="G395" s="21"/>
      <c r="H395" s="18"/>
      <c r="I395" s="30" t="str">
        <f t="shared" si="30"/>
        <v/>
      </c>
      <c r="J395" s="38" t="str">
        <f t="shared" si="31"/>
        <v/>
      </c>
      <c r="K395" s="30" t="str">
        <f t="shared" si="32"/>
        <v/>
      </c>
      <c r="L395" s="30" t="str">
        <f t="shared" si="33"/>
        <v/>
      </c>
      <c r="M395" s="30" t="str">
        <f t="shared" si="34"/>
        <v/>
      </c>
    </row>
    <row r="396" spans="1:13" x14ac:dyDescent="0.2">
      <c r="A396" s="35"/>
      <c r="B396" s="21"/>
      <c r="C396" s="18"/>
      <c r="D396" s="20"/>
      <c r="E396" s="20"/>
      <c r="F396" s="21"/>
      <c r="G396" s="21"/>
      <c r="H396" s="18"/>
      <c r="I396" s="30" t="str">
        <f t="shared" si="30"/>
        <v/>
      </c>
      <c r="J396" s="38" t="str">
        <f t="shared" si="31"/>
        <v/>
      </c>
      <c r="K396" s="30" t="str">
        <f t="shared" si="32"/>
        <v/>
      </c>
      <c r="L396" s="30" t="str">
        <f t="shared" si="33"/>
        <v/>
      </c>
      <c r="M396" s="30" t="str">
        <f t="shared" si="34"/>
        <v/>
      </c>
    </row>
    <row r="397" spans="1:13" x14ac:dyDescent="0.2">
      <c r="A397" s="35"/>
      <c r="B397" s="21"/>
      <c r="C397" s="18"/>
      <c r="D397" s="20"/>
      <c r="E397" s="20"/>
      <c r="F397" s="21"/>
      <c r="G397" s="21"/>
      <c r="H397" s="18"/>
      <c r="I397" s="30" t="str">
        <f t="shared" si="30"/>
        <v/>
      </c>
      <c r="J397" s="38" t="str">
        <f t="shared" si="31"/>
        <v/>
      </c>
      <c r="K397" s="30" t="str">
        <f t="shared" si="32"/>
        <v/>
      </c>
      <c r="L397" s="30" t="str">
        <f t="shared" si="33"/>
        <v/>
      </c>
      <c r="M397" s="30" t="str">
        <f t="shared" si="34"/>
        <v/>
      </c>
    </row>
    <row r="398" spans="1:13" x14ac:dyDescent="0.2">
      <c r="A398" s="35"/>
      <c r="B398" s="21"/>
      <c r="C398" s="18"/>
      <c r="D398" s="20"/>
      <c r="E398" s="20"/>
      <c r="F398" s="21"/>
      <c r="G398" s="21"/>
      <c r="H398" s="18"/>
      <c r="I398" s="30" t="str">
        <f t="shared" si="30"/>
        <v/>
      </c>
      <c r="J398" s="38" t="str">
        <f t="shared" si="31"/>
        <v/>
      </c>
      <c r="K398" s="30" t="str">
        <f t="shared" si="32"/>
        <v/>
      </c>
      <c r="L398" s="30" t="str">
        <f t="shared" si="33"/>
        <v/>
      </c>
      <c r="M398" s="30" t="str">
        <f t="shared" si="34"/>
        <v/>
      </c>
    </row>
    <row r="399" spans="1:13" x14ac:dyDescent="0.2">
      <c r="A399" s="35"/>
      <c r="B399" s="21"/>
      <c r="C399" s="18"/>
      <c r="D399" s="20"/>
      <c r="E399" s="20"/>
      <c r="F399" s="21"/>
      <c r="G399" s="21"/>
      <c r="H399" s="18"/>
      <c r="I399" s="30" t="str">
        <f t="shared" si="30"/>
        <v/>
      </c>
      <c r="J399" s="38" t="str">
        <f t="shared" si="31"/>
        <v/>
      </c>
      <c r="K399" s="30" t="str">
        <f t="shared" si="32"/>
        <v/>
      </c>
      <c r="L399" s="30" t="str">
        <f t="shared" si="33"/>
        <v/>
      </c>
      <c r="M399" s="30" t="str">
        <f t="shared" si="34"/>
        <v/>
      </c>
    </row>
    <row r="400" spans="1:13" x14ac:dyDescent="0.2">
      <c r="A400" s="35"/>
      <c r="B400" s="21"/>
      <c r="C400" s="18"/>
      <c r="D400" s="20"/>
      <c r="E400" s="20"/>
      <c r="F400" s="21"/>
      <c r="G400" s="21"/>
      <c r="H400" s="18"/>
      <c r="I400" s="30" t="str">
        <f t="shared" si="30"/>
        <v/>
      </c>
      <c r="J400" s="38" t="str">
        <f t="shared" si="31"/>
        <v/>
      </c>
      <c r="K400" s="30" t="str">
        <f t="shared" si="32"/>
        <v/>
      </c>
      <c r="L400" s="30" t="str">
        <f t="shared" si="33"/>
        <v/>
      </c>
      <c r="M400" s="30" t="str">
        <f t="shared" si="34"/>
        <v/>
      </c>
    </row>
    <row r="401" spans="1:13" x14ac:dyDescent="0.2">
      <c r="A401" s="35"/>
      <c r="B401" s="21"/>
      <c r="C401" s="18"/>
      <c r="D401" s="20"/>
      <c r="E401" s="20"/>
      <c r="F401" s="21"/>
      <c r="G401" s="21"/>
      <c r="H401" s="18"/>
      <c r="I401" s="30" t="str">
        <f t="shared" si="30"/>
        <v/>
      </c>
      <c r="J401" s="38" t="str">
        <f t="shared" si="31"/>
        <v/>
      </c>
      <c r="K401" s="30" t="str">
        <f t="shared" si="32"/>
        <v/>
      </c>
      <c r="L401" s="30" t="str">
        <f t="shared" si="33"/>
        <v/>
      </c>
      <c r="M401" s="30" t="str">
        <f t="shared" si="34"/>
        <v/>
      </c>
    </row>
    <row r="402" spans="1:13" x14ac:dyDescent="0.2">
      <c r="A402" s="35"/>
      <c r="B402" s="21"/>
      <c r="C402" s="18"/>
      <c r="D402" s="20"/>
      <c r="E402" s="20"/>
      <c r="F402" s="21"/>
      <c r="G402" s="21"/>
      <c r="H402" s="18"/>
      <c r="I402" s="30" t="str">
        <f t="shared" si="30"/>
        <v/>
      </c>
      <c r="J402" s="38" t="str">
        <f t="shared" si="31"/>
        <v/>
      </c>
      <c r="K402" s="30" t="str">
        <f t="shared" si="32"/>
        <v/>
      </c>
      <c r="L402" s="30" t="str">
        <f t="shared" si="33"/>
        <v/>
      </c>
      <c r="M402" s="30" t="str">
        <f t="shared" si="34"/>
        <v/>
      </c>
    </row>
    <row r="403" spans="1:13" x14ac:dyDescent="0.2">
      <c r="A403" s="35"/>
      <c r="B403" s="21"/>
      <c r="C403" s="18"/>
      <c r="D403" s="20"/>
      <c r="E403" s="20"/>
      <c r="F403" s="21"/>
      <c r="G403" s="21"/>
      <c r="H403" s="18"/>
      <c r="I403" s="30" t="str">
        <f t="shared" si="30"/>
        <v/>
      </c>
      <c r="J403" s="38" t="str">
        <f t="shared" si="31"/>
        <v/>
      </c>
      <c r="K403" s="30" t="str">
        <f t="shared" si="32"/>
        <v/>
      </c>
      <c r="L403" s="30" t="str">
        <f t="shared" si="33"/>
        <v/>
      </c>
      <c r="M403" s="30" t="str">
        <f t="shared" si="34"/>
        <v/>
      </c>
    </row>
    <row r="404" spans="1:13" x14ac:dyDescent="0.2">
      <c r="A404" s="35"/>
      <c r="B404" s="21"/>
      <c r="C404" s="18"/>
      <c r="D404" s="20"/>
      <c r="E404" s="20"/>
      <c r="F404" s="21"/>
      <c r="G404" s="21"/>
      <c r="H404" s="18"/>
      <c r="I404" s="30" t="str">
        <f t="shared" si="30"/>
        <v/>
      </c>
      <c r="J404" s="38" t="str">
        <f t="shared" si="31"/>
        <v/>
      </c>
      <c r="K404" s="30" t="str">
        <f t="shared" si="32"/>
        <v/>
      </c>
      <c r="L404" s="30" t="str">
        <f t="shared" si="33"/>
        <v/>
      </c>
      <c r="M404" s="30" t="str">
        <f t="shared" si="34"/>
        <v/>
      </c>
    </row>
    <row r="405" spans="1:13" x14ac:dyDescent="0.2">
      <c r="A405" s="35"/>
      <c r="B405" s="21"/>
      <c r="C405" s="18"/>
      <c r="D405" s="20"/>
      <c r="E405" s="20"/>
      <c r="F405" s="21"/>
      <c r="G405" s="21"/>
      <c r="H405" s="18"/>
      <c r="I405" s="30" t="str">
        <f t="shared" si="30"/>
        <v/>
      </c>
      <c r="J405" s="38" t="str">
        <f t="shared" si="31"/>
        <v/>
      </c>
      <c r="K405" s="30" t="str">
        <f t="shared" si="32"/>
        <v/>
      </c>
      <c r="L405" s="30" t="str">
        <f t="shared" si="33"/>
        <v/>
      </c>
      <c r="M405" s="30" t="str">
        <f t="shared" si="34"/>
        <v/>
      </c>
    </row>
    <row r="406" spans="1:13" x14ac:dyDescent="0.2">
      <c r="A406" s="35"/>
      <c r="B406" s="21"/>
      <c r="C406" s="18"/>
      <c r="D406" s="20"/>
      <c r="E406" s="20"/>
      <c r="F406" s="21"/>
      <c r="G406" s="21"/>
      <c r="H406" s="18"/>
      <c r="I406" s="30" t="str">
        <f t="shared" si="30"/>
        <v/>
      </c>
      <c r="J406" s="38" t="str">
        <f t="shared" si="31"/>
        <v/>
      </c>
      <c r="K406" s="30" t="str">
        <f t="shared" si="32"/>
        <v/>
      </c>
      <c r="L406" s="30" t="str">
        <f t="shared" si="33"/>
        <v/>
      </c>
      <c r="M406" s="30" t="str">
        <f t="shared" si="34"/>
        <v/>
      </c>
    </row>
    <row r="407" spans="1:13" x14ac:dyDescent="0.2">
      <c r="A407" s="35"/>
      <c r="B407" s="21"/>
      <c r="C407" s="18"/>
      <c r="D407" s="20"/>
      <c r="E407" s="20"/>
      <c r="F407" s="21"/>
      <c r="G407" s="21"/>
      <c r="H407" s="18"/>
      <c r="I407" s="30" t="str">
        <f t="shared" si="30"/>
        <v/>
      </c>
      <c r="J407" s="38" t="str">
        <f t="shared" si="31"/>
        <v/>
      </c>
      <c r="K407" s="30" t="str">
        <f t="shared" si="32"/>
        <v/>
      </c>
      <c r="L407" s="30" t="str">
        <f t="shared" si="33"/>
        <v/>
      </c>
      <c r="M407" s="30" t="str">
        <f t="shared" si="34"/>
        <v/>
      </c>
    </row>
    <row r="408" spans="1:13" x14ac:dyDescent="0.2">
      <c r="A408" s="35"/>
      <c r="B408" s="21"/>
      <c r="C408" s="18"/>
      <c r="D408" s="20"/>
      <c r="E408" s="20"/>
      <c r="F408" s="21"/>
      <c r="G408" s="21"/>
      <c r="H408" s="18"/>
      <c r="I408" s="30" t="str">
        <f t="shared" si="30"/>
        <v/>
      </c>
      <c r="J408" s="38" t="str">
        <f t="shared" si="31"/>
        <v/>
      </c>
      <c r="K408" s="30" t="str">
        <f t="shared" si="32"/>
        <v/>
      </c>
      <c r="L408" s="30" t="str">
        <f t="shared" si="33"/>
        <v/>
      </c>
      <c r="M408" s="30" t="str">
        <f t="shared" si="34"/>
        <v/>
      </c>
    </row>
    <row r="409" spans="1:13" x14ac:dyDescent="0.2">
      <c r="A409" s="35"/>
      <c r="B409" s="21"/>
      <c r="C409" s="18"/>
      <c r="D409" s="20"/>
      <c r="E409" s="20"/>
      <c r="F409" s="21"/>
      <c r="G409" s="21"/>
      <c r="H409" s="18"/>
      <c r="I409" s="30" t="str">
        <f t="shared" si="30"/>
        <v/>
      </c>
      <c r="J409" s="38" t="str">
        <f t="shared" si="31"/>
        <v/>
      </c>
      <c r="K409" s="30" t="str">
        <f t="shared" si="32"/>
        <v/>
      </c>
      <c r="L409" s="30" t="str">
        <f t="shared" si="33"/>
        <v/>
      </c>
      <c r="M409" s="30" t="str">
        <f t="shared" si="34"/>
        <v/>
      </c>
    </row>
    <row r="410" spans="1:13" x14ac:dyDescent="0.2">
      <c r="A410" s="35"/>
      <c r="B410" s="21"/>
      <c r="C410" s="18"/>
      <c r="D410" s="20"/>
      <c r="E410" s="20"/>
      <c r="F410" s="21"/>
      <c r="G410" s="21"/>
      <c r="H410" s="18"/>
      <c r="I410" s="30" t="str">
        <f t="shared" si="30"/>
        <v/>
      </c>
      <c r="J410" s="38" t="str">
        <f t="shared" si="31"/>
        <v/>
      </c>
      <c r="K410" s="30" t="str">
        <f t="shared" si="32"/>
        <v/>
      </c>
      <c r="L410" s="30" t="str">
        <f t="shared" si="33"/>
        <v/>
      </c>
      <c r="M410" s="30" t="str">
        <f t="shared" si="34"/>
        <v/>
      </c>
    </row>
    <row r="411" spans="1:13" x14ac:dyDescent="0.2">
      <c r="A411" s="35"/>
      <c r="B411" s="21"/>
      <c r="C411" s="18"/>
      <c r="D411" s="20"/>
      <c r="E411" s="20"/>
      <c r="F411" s="21"/>
      <c r="G411" s="21"/>
      <c r="H411" s="18"/>
      <c r="I411" s="30" t="str">
        <f t="shared" si="30"/>
        <v/>
      </c>
      <c r="J411" s="38" t="str">
        <f t="shared" si="31"/>
        <v/>
      </c>
      <c r="K411" s="30" t="str">
        <f t="shared" si="32"/>
        <v/>
      </c>
      <c r="L411" s="30" t="str">
        <f t="shared" si="33"/>
        <v/>
      </c>
      <c r="M411" s="30" t="str">
        <f t="shared" si="34"/>
        <v/>
      </c>
    </row>
    <row r="412" spans="1:13" x14ac:dyDescent="0.2">
      <c r="A412" s="35"/>
      <c r="B412" s="21"/>
      <c r="C412" s="18"/>
      <c r="D412" s="20"/>
      <c r="E412" s="20"/>
      <c r="F412" s="21"/>
      <c r="G412" s="21"/>
      <c r="H412" s="18"/>
      <c r="I412" s="30" t="str">
        <f t="shared" si="30"/>
        <v/>
      </c>
      <c r="J412" s="38" t="str">
        <f t="shared" si="31"/>
        <v/>
      </c>
      <c r="K412" s="30" t="str">
        <f t="shared" si="32"/>
        <v/>
      </c>
      <c r="L412" s="30" t="str">
        <f t="shared" si="33"/>
        <v/>
      </c>
      <c r="M412" s="30" t="str">
        <f t="shared" si="34"/>
        <v/>
      </c>
    </row>
    <row r="413" spans="1:13" x14ac:dyDescent="0.2">
      <c r="A413" s="35"/>
      <c r="B413" s="21"/>
      <c r="C413" s="18"/>
      <c r="D413" s="20"/>
      <c r="E413" s="20"/>
      <c r="F413" s="21"/>
      <c r="G413" s="21"/>
      <c r="H413" s="18"/>
      <c r="I413" s="30" t="str">
        <f t="shared" si="30"/>
        <v/>
      </c>
      <c r="J413" s="38" t="str">
        <f t="shared" si="31"/>
        <v/>
      </c>
      <c r="K413" s="30" t="str">
        <f t="shared" si="32"/>
        <v/>
      </c>
      <c r="L413" s="30" t="str">
        <f t="shared" si="33"/>
        <v/>
      </c>
      <c r="M413" s="30" t="str">
        <f t="shared" si="34"/>
        <v/>
      </c>
    </row>
    <row r="414" spans="1:13" x14ac:dyDescent="0.2">
      <c r="A414" s="35"/>
      <c r="B414" s="21"/>
      <c r="C414" s="18"/>
      <c r="D414" s="20"/>
      <c r="E414" s="20"/>
      <c r="F414" s="21"/>
      <c r="G414" s="21"/>
      <c r="H414" s="18"/>
      <c r="I414" s="30" t="str">
        <f t="shared" si="30"/>
        <v/>
      </c>
      <c r="J414" s="38" t="str">
        <f t="shared" si="31"/>
        <v/>
      </c>
      <c r="K414" s="30" t="str">
        <f t="shared" si="32"/>
        <v/>
      </c>
      <c r="L414" s="30" t="str">
        <f t="shared" si="33"/>
        <v/>
      </c>
      <c r="M414" s="30" t="str">
        <f t="shared" si="34"/>
        <v/>
      </c>
    </row>
    <row r="415" spans="1:13" x14ac:dyDescent="0.2">
      <c r="A415" s="35"/>
      <c r="B415" s="21"/>
      <c r="C415" s="18"/>
      <c r="D415" s="20"/>
      <c r="E415" s="20"/>
      <c r="F415" s="21"/>
      <c r="G415" s="21"/>
      <c r="H415" s="18"/>
      <c r="I415" s="30" t="str">
        <f t="shared" si="30"/>
        <v/>
      </c>
      <c r="J415" s="38" t="str">
        <f t="shared" si="31"/>
        <v/>
      </c>
      <c r="K415" s="30" t="str">
        <f t="shared" si="32"/>
        <v/>
      </c>
      <c r="L415" s="30" t="str">
        <f t="shared" si="33"/>
        <v/>
      </c>
      <c r="M415" s="30" t="str">
        <f t="shared" si="34"/>
        <v/>
      </c>
    </row>
    <row r="416" spans="1:13" x14ac:dyDescent="0.2">
      <c r="A416" s="35"/>
      <c r="B416" s="21"/>
      <c r="C416" s="18"/>
      <c r="D416" s="20"/>
      <c r="E416" s="20"/>
      <c r="F416" s="21"/>
      <c r="G416" s="21"/>
      <c r="H416" s="18"/>
      <c r="I416" s="30" t="str">
        <f t="shared" si="30"/>
        <v/>
      </c>
      <c r="J416" s="38" t="str">
        <f t="shared" si="31"/>
        <v/>
      </c>
      <c r="K416" s="30" t="str">
        <f t="shared" si="32"/>
        <v/>
      </c>
      <c r="L416" s="30" t="str">
        <f t="shared" si="33"/>
        <v/>
      </c>
      <c r="M416" s="30" t="str">
        <f t="shared" si="34"/>
        <v/>
      </c>
    </row>
    <row r="417" spans="1:13" x14ac:dyDescent="0.2">
      <c r="A417" s="35"/>
      <c r="B417" s="21"/>
      <c r="C417" s="18"/>
      <c r="D417" s="20"/>
      <c r="E417" s="20"/>
      <c r="F417" s="21"/>
      <c r="G417" s="21"/>
      <c r="H417" s="18"/>
      <c r="I417" s="30" t="str">
        <f t="shared" si="30"/>
        <v/>
      </c>
      <c r="J417" s="38" t="str">
        <f t="shared" si="31"/>
        <v/>
      </c>
      <c r="K417" s="30" t="str">
        <f t="shared" si="32"/>
        <v/>
      </c>
      <c r="L417" s="30" t="str">
        <f t="shared" si="33"/>
        <v/>
      </c>
      <c r="M417" s="30" t="str">
        <f t="shared" si="34"/>
        <v/>
      </c>
    </row>
    <row r="418" spans="1:13" x14ac:dyDescent="0.2">
      <c r="A418" s="35"/>
      <c r="B418" s="21"/>
      <c r="C418" s="18"/>
      <c r="D418" s="20"/>
      <c r="E418" s="20"/>
      <c r="F418" s="21"/>
      <c r="G418" s="21"/>
      <c r="H418" s="18"/>
      <c r="I418" s="30" t="str">
        <f t="shared" si="30"/>
        <v/>
      </c>
      <c r="J418" s="38" t="str">
        <f t="shared" si="31"/>
        <v/>
      </c>
      <c r="K418" s="30" t="str">
        <f t="shared" si="32"/>
        <v/>
      </c>
      <c r="L418" s="30" t="str">
        <f t="shared" si="33"/>
        <v/>
      </c>
      <c r="M418" s="30" t="str">
        <f t="shared" si="34"/>
        <v/>
      </c>
    </row>
    <row r="419" spans="1:13" x14ac:dyDescent="0.2">
      <c r="A419" s="35"/>
      <c r="B419" s="21"/>
      <c r="C419" s="18"/>
      <c r="D419" s="20"/>
      <c r="E419" s="20"/>
      <c r="F419" s="21"/>
      <c r="G419" s="21"/>
      <c r="H419" s="18"/>
      <c r="I419" s="30" t="str">
        <f t="shared" si="30"/>
        <v/>
      </c>
      <c r="J419" s="38" t="str">
        <f t="shared" si="31"/>
        <v/>
      </c>
      <c r="K419" s="30" t="str">
        <f t="shared" si="32"/>
        <v/>
      </c>
      <c r="L419" s="30" t="str">
        <f t="shared" si="33"/>
        <v/>
      </c>
      <c r="M419" s="30" t="str">
        <f t="shared" si="34"/>
        <v/>
      </c>
    </row>
    <row r="420" spans="1:13" x14ac:dyDescent="0.2">
      <c r="A420" s="35"/>
      <c r="B420" s="21"/>
      <c r="C420" s="18"/>
      <c r="D420" s="20"/>
      <c r="E420" s="20"/>
      <c r="F420" s="21"/>
      <c r="G420" s="21"/>
      <c r="H420" s="18"/>
      <c r="I420" s="30" t="str">
        <f t="shared" si="30"/>
        <v/>
      </c>
      <c r="J420" s="38" t="str">
        <f t="shared" si="31"/>
        <v/>
      </c>
      <c r="K420" s="30" t="str">
        <f t="shared" si="32"/>
        <v/>
      </c>
      <c r="L420" s="30" t="str">
        <f t="shared" si="33"/>
        <v/>
      </c>
      <c r="M420" s="30" t="str">
        <f t="shared" si="34"/>
        <v/>
      </c>
    </row>
    <row r="421" spans="1:13" x14ac:dyDescent="0.2">
      <c r="A421" s="35"/>
      <c r="B421" s="21"/>
      <c r="C421" s="18"/>
      <c r="D421" s="20"/>
      <c r="E421" s="20"/>
      <c r="F421" s="21"/>
      <c r="G421" s="21"/>
      <c r="H421" s="18"/>
      <c r="I421" s="30" t="str">
        <f t="shared" si="30"/>
        <v/>
      </c>
      <c r="J421" s="38" t="str">
        <f t="shared" si="31"/>
        <v/>
      </c>
      <c r="K421" s="30" t="str">
        <f t="shared" si="32"/>
        <v/>
      </c>
      <c r="L421" s="30" t="str">
        <f t="shared" si="33"/>
        <v/>
      </c>
      <c r="M421" s="30" t="str">
        <f t="shared" si="34"/>
        <v/>
      </c>
    </row>
    <row r="422" spans="1:13" x14ac:dyDescent="0.2">
      <c r="A422" s="35"/>
      <c r="B422" s="21"/>
      <c r="C422" s="18"/>
      <c r="D422" s="20"/>
      <c r="E422" s="20"/>
      <c r="F422" s="21"/>
      <c r="G422" s="21"/>
      <c r="H422" s="18"/>
      <c r="I422" s="30" t="str">
        <f t="shared" si="30"/>
        <v/>
      </c>
      <c r="J422" s="38" t="str">
        <f t="shared" si="31"/>
        <v/>
      </c>
      <c r="K422" s="30" t="str">
        <f t="shared" si="32"/>
        <v/>
      </c>
      <c r="L422" s="30" t="str">
        <f t="shared" si="33"/>
        <v/>
      </c>
      <c r="M422" s="30" t="str">
        <f t="shared" si="34"/>
        <v/>
      </c>
    </row>
    <row r="423" spans="1:13" x14ac:dyDescent="0.2">
      <c r="A423" s="35"/>
      <c r="B423" s="21"/>
      <c r="C423" s="18"/>
      <c r="D423" s="20"/>
      <c r="E423" s="20"/>
      <c r="F423" s="21"/>
      <c r="G423" s="21"/>
      <c r="H423" s="18"/>
      <c r="I423" s="30" t="str">
        <f t="shared" si="30"/>
        <v/>
      </c>
      <c r="J423" s="38" t="str">
        <f t="shared" si="31"/>
        <v/>
      </c>
      <c r="K423" s="30" t="str">
        <f t="shared" si="32"/>
        <v/>
      </c>
      <c r="L423" s="30" t="str">
        <f t="shared" si="33"/>
        <v/>
      </c>
      <c r="M423" s="30" t="str">
        <f t="shared" si="34"/>
        <v/>
      </c>
    </row>
    <row r="424" spans="1:13" x14ac:dyDescent="0.2">
      <c r="A424" s="35"/>
      <c r="B424" s="21"/>
      <c r="C424" s="18"/>
      <c r="D424" s="20"/>
      <c r="E424" s="20"/>
      <c r="F424" s="21"/>
      <c r="G424" s="21"/>
      <c r="H424" s="18"/>
      <c r="I424" s="30" t="str">
        <f t="shared" si="30"/>
        <v/>
      </c>
      <c r="J424" s="38" t="str">
        <f t="shared" si="31"/>
        <v/>
      </c>
      <c r="K424" s="30" t="str">
        <f t="shared" si="32"/>
        <v/>
      </c>
      <c r="L424" s="30" t="str">
        <f t="shared" si="33"/>
        <v/>
      </c>
      <c r="M424" s="30" t="str">
        <f t="shared" si="34"/>
        <v/>
      </c>
    </row>
    <row r="425" spans="1:13" x14ac:dyDescent="0.2">
      <c r="A425" s="35"/>
      <c r="B425" s="21"/>
      <c r="C425" s="18"/>
      <c r="D425" s="20"/>
      <c r="E425" s="20"/>
      <c r="F425" s="21"/>
      <c r="G425" s="21"/>
      <c r="H425" s="18"/>
      <c r="I425" s="30" t="str">
        <f t="shared" si="30"/>
        <v/>
      </c>
      <c r="J425" s="38" t="str">
        <f t="shared" si="31"/>
        <v/>
      </c>
      <c r="K425" s="30" t="str">
        <f t="shared" si="32"/>
        <v/>
      </c>
      <c r="L425" s="30" t="str">
        <f t="shared" si="33"/>
        <v/>
      </c>
      <c r="M425" s="30" t="str">
        <f t="shared" si="34"/>
        <v/>
      </c>
    </row>
    <row r="426" spans="1:13" x14ac:dyDescent="0.2">
      <c r="A426" s="35"/>
      <c r="B426" s="21"/>
      <c r="C426" s="18"/>
      <c r="D426" s="20"/>
      <c r="E426" s="20"/>
      <c r="F426" s="21"/>
      <c r="G426" s="21"/>
      <c r="H426" s="18"/>
      <c r="I426" s="30" t="str">
        <f t="shared" si="30"/>
        <v/>
      </c>
      <c r="J426" s="38" t="str">
        <f t="shared" si="31"/>
        <v/>
      </c>
      <c r="K426" s="30" t="str">
        <f t="shared" si="32"/>
        <v/>
      </c>
      <c r="L426" s="30" t="str">
        <f t="shared" si="33"/>
        <v/>
      </c>
      <c r="M426" s="30" t="str">
        <f t="shared" si="34"/>
        <v/>
      </c>
    </row>
    <row r="427" spans="1:13" x14ac:dyDescent="0.2">
      <c r="A427" s="35"/>
      <c r="B427" s="21"/>
      <c r="C427" s="18"/>
      <c r="D427" s="20"/>
      <c r="E427" s="20"/>
      <c r="F427" s="21"/>
      <c r="G427" s="21"/>
      <c r="H427" s="18"/>
      <c r="I427" s="30" t="str">
        <f t="shared" si="30"/>
        <v/>
      </c>
      <c r="J427" s="38" t="str">
        <f t="shared" si="31"/>
        <v/>
      </c>
      <c r="K427" s="30" t="str">
        <f t="shared" si="32"/>
        <v/>
      </c>
      <c r="L427" s="30" t="str">
        <f t="shared" si="33"/>
        <v/>
      </c>
      <c r="M427" s="30" t="str">
        <f t="shared" si="34"/>
        <v/>
      </c>
    </row>
    <row r="428" spans="1:13" x14ac:dyDescent="0.2">
      <c r="A428" s="35"/>
      <c r="B428" s="21"/>
      <c r="C428" s="18"/>
      <c r="D428" s="20"/>
      <c r="E428" s="20"/>
      <c r="F428" s="21"/>
      <c r="G428" s="21"/>
      <c r="H428" s="18"/>
      <c r="I428" s="30" t="str">
        <f t="shared" si="30"/>
        <v/>
      </c>
      <c r="J428" s="38" t="str">
        <f t="shared" si="31"/>
        <v/>
      </c>
      <c r="K428" s="30" t="str">
        <f t="shared" si="32"/>
        <v/>
      </c>
      <c r="L428" s="30" t="str">
        <f t="shared" si="33"/>
        <v/>
      </c>
      <c r="M428" s="30" t="str">
        <f t="shared" si="34"/>
        <v/>
      </c>
    </row>
    <row r="429" spans="1:13" x14ac:dyDescent="0.2">
      <c r="A429" s="35"/>
      <c r="B429" s="21"/>
      <c r="C429" s="18"/>
      <c r="D429" s="20"/>
      <c r="E429" s="20"/>
      <c r="F429" s="21"/>
      <c r="G429" s="21"/>
      <c r="H429" s="18"/>
      <c r="I429" s="30" t="str">
        <f t="shared" si="30"/>
        <v/>
      </c>
      <c r="J429" s="38" t="str">
        <f t="shared" si="31"/>
        <v/>
      </c>
      <c r="K429" s="30" t="str">
        <f t="shared" si="32"/>
        <v/>
      </c>
      <c r="L429" s="30" t="str">
        <f t="shared" si="33"/>
        <v/>
      </c>
      <c r="M429" s="30" t="str">
        <f t="shared" si="34"/>
        <v/>
      </c>
    </row>
    <row r="430" spans="1:13" x14ac:dyDescent="0.2">
      <c r="A430" s="35"/>
      <c r="B430" s="21"/>
      <c r="C430" s="18"/>
      <c r="D430" s="20"/>
      <c r="E430" s="20"/>
      <c r="F430" s="21"/>
      <c r="G430" s="21"/>
      <c r="H430" s="18"/>
      <c r="I430" s="30" t="str">
        <f t="shared" si="30"/>
        <v/>
      </c>
      <c r="J430" s="38" t="str">
        <f t="shared" si="31"/>
        <v/>
      </c>
      <c r="K430" s="30" t="str">
        <f t="shared" si="32"/>
        <v/>
      </c>
      <c r="L430" s="30" t="str">
        <f t="shared" si="33"/>
        <v/>
      </c>
      <c r="M430" s="30" t="str">
        <f t="shared" si="34"/>
        <v/>
      </c>
    </row>
    <row r="431" spans="1:13" x14ac:dyDescent="0.2">
      <c r="A431" s="35"/>
      <c r="B431" s="21"/>
      <c r="C431" s="18"/>
      <c r="D431" s="20"/>
      <c r="E431" s="20"/>
      <c r="F431" s="21"/>
      <c r="G431" s="21"/>
      <c r="H431" s="18"/>
      <c r="I431" s="30" t="str">
        <f t="shared" si="30"/>
        <v/>
      </c>
      <c r="J431" s="38" t="str">
        <f t="shared" si="31"/>
        <v/>
      </c>
      <c r="K431" s="30" t="str">
        <f t="shared" si="32"/>
        <v/>
      </c>
      <c r="L431" s="30" t="str">
        <f t="shared" si="33"/>
        <v/>
      </c>
      <c r="M431" s="30" t="str">
        <f t="shared" si="34"/>
        <v/>
      </c>
    </row>
    <row r="432" spans="1:13" x14ac:dyDescent="0.2">
      <c r="A432" s="35"/>
      <c r="B432" s="21"/>
      <c r="C432" s="18"/>
      <c r="D432" s="20"/>
      <c r="E432" s="20"/>
      <c r="F432" s="21"/>
      <c r="G432" s="21"/>
      <c r="H432" s="18"/>
      <c r="I432" s="30" t="str">
        <f t="shared" si="30"/>
        <v/>
      </c>
      <c r="J432" s="38" t="str">
        <f t="shared" si="31"/>
        <v/>
      </c>
      <c r="K432" s="30" t="str">
        <f t="shared" si="32"/>
        <v/>
      </c>
      <c r="L432" s="30" t="str">
        <f t="shared" si="33"/>
        <v/>
      </c>
      <c r="M432" s="30" t="str">
        <f t="shared" si="34"/>
        <v/>
      </c>
    </row>
    <row r="433" spans="1:13" x14ac:dyDescent="0.2">
      <c r="A433" s="35"/>
      <c r="B433" s="21"/>
      <c r="C433" s="18"/>
      <c r="D433" s="20"/>
      <c r="E433" s="20"/>
      <c r="F433" s="21"/>
      <c r="G433" s="21"/>
      <c r="H433" s="18"/>
      <c r="I433" s="30" t="str">
        <f t="shared" si="30"/>
        <v/>
      </c>
      <c r="J433" s="38" t="str">
        <f t="shared" si="31"/>
        <v/>
      </c>
      <c r="K433" s="30" t="str">
        <f t="shared" si="32"/>
        <v/>
      </c>
      <c r="L433" s="30" t="str">
        <f t="shared" si="33"/>
        <v/>
      </c>
      <c r="M433" s="30" t="str">
        <f t="shared" si="34"/>
        <v/>
      </c>
    </row>
    <row r="434" spans="1:13" x14ac:dyDescent="0.2">
      <c r="A434" s="35"/>
      <c r="B434" s="21"/>
      <c r="C434" s="18"/>
      <c r="D434" s="20"/>
      <c r="E434" s="20"/>
      <c r="F434" s="21"/>
      <c r="G434" s="21"/>
      <c r="H434" s="18"/>
      <c r="I434" s="30" t="str">
        <f t="shared" si="30"/>
        <v/>
      </c>
      <c r="J434" s="38" t="str">
        <f t="shared" si="31"/>
        <v/>
      </c>
      <c r="K434" s="30" t="str">
        <f t="shared" si="32"/>
        <v/>
      </c>
      <c r="L434" s="30" t="str">
        <f t="shared" si="33"/>
        <v/>
      </c>
      <c r="M434" s="30" t="str">
        <f t="shared" si="34"/>
        <v/>
      </c>
    </row>
    <row r="435" spans="1:13" x14ac:dyDescent="0.2">
      <c r="A435" s="35"/>
      <c r="B435" s="21"/>
      <c r="C435" s="18"/>
      <c r="D435" s="20"/>
      <c r="E435" s="20"/>
      <c r="F435" s="21"/>
      <c r="G435" s="21"/>
      <c r="H435" s="18"/>
      <c r="I435" s="30" t="str">
        <f t="shared" si="30"/>
        <v/>
      </c>
      <c r="J435" s="38" t="str">
        <f t="shared" si="31"/>
        <v/>
      </c>
      <c r="K435" s="30" t="str">
        <f t="shared" si="32"/>
        <v/>
      </c>
      <c r="L435" s="30" t="str">
        <f t="shared" si="33"/>
        <v/>
      </c>
      <c r="M435" s="30" t="str">
        <f t="shared" si="34"/>
        <v/>
      </c>
    </row>
    <row r="436" spans="1:13" x14ac:dyDescent="0.2">
      <c r="A436" s="35"/>
      <c r="B436" s="21"/>
      <c r="C436" s="18"/>
      <c r="D436" s="20"/>
      <c r="E436" s="20"/>
      <c r="F436" s="21"/>
      <c r="G436" s="21"/>
      <c r="H436" s="18"/>
      <c r="I436" s="30" t="str">
        <f t="shared" si="30"/>
        <v/>
      </c>
      <c r="J436" s="38" t="str">
        <f t="shared" si="31"/>
        <v/>
      </c>
      <c r="K436" s="30" t="str">
        <f t="shared" si="32"/>
        <v/>
      </c>
      <c r="L436" s="30" t="str">
        <f t="shared" si="33"/>
        <v/>
      </c>
      <c r="M436" s="30" t="str">
        <f t="shared" si="34"/>
        <v/>
      </c>
    </row>
    <row r="437" spans="1:13" x14ac:dyDescent="0.2">
      <c r="A437" s="35"/>
      <c r="B437" s="21"/>
      <c r="C437" s="18"/>
      <c r="D437" s="20"/>
      <c r="E437" s="20"/>
      <c r="F437" s="21"/>
      <c r="G437" s="21"/>
      <c r="H437" s="18"/>
      <c r="I437" s="30" t="str">
        <f t="shared" si="30"/>
        <v/>
      </c>
      <c r="J437" s="38" t="str">
        <f t="shared" si="31"/>
        <v/>
      </c>
      <c r="K437" s="30" t="str">
        <f t="shared" si="32"/>
        <v/>
      </c>
      <c r="L437" s="30" t="str">
        <f t="shared" si="33"/>
        <v/>
      </c>
      <c r="M437" s="30" t="str">
        <f t="shared" si="34"/>
        <v/>
      </c>
    </row>
    <row r="438" spans="1:13" x14ac:dyDescent="0.2">
      <c r="A438" s="35"/>
      <c r="B438" s="21"/>
      <c r="C438" s="18"/>
      <c r="D438" s="20"/>
      <c r="E438" s="20"/>
      <c r="F438" s="21"/>
      <c r="G438" s="21"/>
      <c r="H438" s="18"/>
      <c r="I438" s="30" t="str">
        <f t="shared" si="30"/>
        <v/>
      </c>
      <c r="J438" s="38" t="str">
        <f t="shared" si="31"/>
        <v/>
      </c>
      <c r="K438" s="30" t="str">
        <f t="shared" si="32"/>
        <v/>
      </c>
      <c r="L438" s="30" t="str">
        <f t="shared" si="33"/>
        <v/>
      </c>
      <c r="M438" s="30" t="str">
        <f t="shared" si="34"/>
        <v/>
      </c>
    </row>
    <row r="439" spans="1:13" x14ac:dyDescent="0.2">
      <c r="A439" s="35"/>
      <c r="B439" s="21"/>
      <c r="C439" s="18"/>
      <c r="D439" s="20"/>
      <c r="E439" s="20"/>
      <c r="F439" s="21"/>
      <c r="G439" s="21"/>
      <c r="H439" s="18"/>
      <c r="I439" s="30" t="str">
        <f t="shared" si="30"/>
        <v/>
      </c>
      <c r="J439" s="38" t="str">
        <f t="shared" si="31"/>
        <v/>
      </c>
      <c r="K439" s="30" t="str">
        <f t="shared" si="32"/>
        <v/>
      </c>
      <c r="L439" s="30" t="str">
        <f t="shared" si="33"/>
        <v/>
      </c>
      <c r="M439" s="30" t="str">
        <f t="shared" si="34"/>
        <v/>
      </c>
    </row>
    <row r="440" spans="1:13" x14ac:dyDescent="0.2">
      <c r="A440" s="35"/>
      <c r="B440" s="21"/>
      <c r="C440" s="18"/>
      <c r="D440" s="20"/>
      <c r="E440" s="20"/>
      <c r="F440" s="21"/>
      <c r="G440" s="21"/>
      <c r="H440" s="18"/>
      <c r="I440" s="30" t="str">
        <f t="shared" si="30"/>
        <v/>
      </c>
      <c r="J440" s="38" t="str">
        <f t="shared" si="31"/>
        <v/>
      </c>
      <c r="K440" s="30" t="str">
        <f t="shared" si="32"/>
        <v/>
      </c>
      <c r="L440" s="30" t="str">
        <f t="shared" si="33"/>
        <v/>
      </c>
      <c r="M440" s="30" t="str">
        <f t="shared" si="34"/>
        <v/>
      </c>
    </row>
    <row r="441" spans="1:13" x14ac:dyDescent="0.2">
      <c r="A441" s="35"/>
      <c r="B441" s="21"/>
      <c r="C441" s="18"/>
      <c r="D441" s="20"/>
      <c r="E441" s="20"/>
      <c r="F441" s="21"/>
      <c r="G441" s="21"/>
      <c r="H441" s="18"/>
      <c r="I441" s="30" t="str">
        <f t="shared" si="30"/>
        <v/>
      </c>
      <c r="J441" s="38" t="str">
        <f t="shared" si="31"/>
        <v/>
      </c>
      <c r="K441" s="30" t="str">
        <f t="shared" si="32"/>
        <v/>
      </c>
      <c r="L441" s="30" t="str">
        <f t="shared" si="33"/>
        <v/>
      </c>
      <c r="M441" s="30" t="str">
        <f t="shared" si="34"/>
        <v/>
      </c>
    </row>
    <row r="442" spans="1:13" x14ac:dyDescent="0.2">
      <c r="A442" s="35"/>
      <c r="B442" s="21"/>
      <c r="C442" s="18"/>
      <c r="D442" s="20"/>
      <c r="E442" s="20"/>
      <c r="F442" s="21"/>
      <c r="G442" s="21"/>
      <c r="H442" s="18"/>
      <c r="I442" s="30" t="str">
        <f t="shared" si="30"/>
        <v/>
      </c>
      <c r="J442" s="38" t="str">
        <f t="shared" si="31"/>
        <v/>
      </c>
      <c r="K442" s="30" t="str">
        <f t="shared" si="32"/>
        <v/>
      </c>
      <c r="L442" s="30" t="str">
        <f t="shared" si="33"/>
        <v/>
      </c>
      <c r="M442" s="30" t="str">
        <f t="shared" si="34"/>
        <v/>
      </c>
    </row>
    <row r="443" spans="1:13" x14ac:dyDescent="0.2">
      <c r="A443" s="35"/>
      <c r="B443" s="21"/>
      <c r="C443" s="18"/>
      <c r="D443" s="20"/>
      <c r="E443" s="20"/>
      <c r="F443" s="21"/>
      <c r="G443" s="21"/>
      <c r="H443" s="18"/>
      <c r="I443" s="30" t="str">
        <f t="shared" si="30"/>
        <v/>
      </c>
      <c r="J443" s="38" t="str">
        <f t="shared" si="31"/>
        <v/>
      </c>
      <c r="K443" s="30" t="str">
        <f t="shared" si="32"/>
        <v/>
      </c>
      <c r="L443" s="30" t="str">
        <f t="shared" si="33"/>
        <v/>
      </c>
      <c r="M443" s="30" t="str">
        <f t="shared" si="34"/>
        <v/>
      </c>
    </row>
    <row r="444" spans="1:13" x14ac:dyDescent="0.2">
      <c r="A444" s="35"/>
      <c r="B444" s="21"/>
      <c r="C444" s="18"/>
      <c r="D444" s="20"/>
      <c r="E444" s="20"/>
      <c r="F444" s="21"/>
      <c r="G444" s="21"/>
      <c r="H444" s="18"/>
      <c r="I444" s="30" t="str">
        <f t="shared" si="30"/>
        <v/>
      </c>
      <c r="J444" s="38" t="str">
        <f t="shared" si="31"/>
        <v/>
      </c>
      <c r="K444" s="30" t="str">
        <f t="shared" si="32"/>
        <v/>
      </c>
      <c r="L444" s="30" t="str">
        <f t="shared" si="33"/>
        <v/>
      </c>
      <c r="M444" s="30" t="str">
        <f t="shared" si="34"/>
        <v/>
      </c>
    </row>
    <row r="445" spans="1:13" x14ac:dyDescent="0.2">
      <c r="A445" s="35"/>
      <c r="B445" s="21"/>
      <c r="C445" s="18"/>
      <c r="D445" s="20"/>
      <c r="E445" s="20"/>
      <c r="F445" s="21"/>
      <c r="G445" s="21"/>
      <c r="H445" s="18"/>
      <c r="I445" s="30" t="str">
        <f t="shared" si="30"/>
        <v/>
      </c>
      <c r="J445" s="38" t="str">
        <f t="shared" si="31"/>
        <v/>
      </c>
      <c r="K445" s="30" t="str">
        <f t="shared" si="32"/>
        <v/>
      </c>
      <c r="L445" s="30" t="str">
        <f t="shared" si="33"/>
        <v/>
      </c>
      <c r="M445" s="30" t="str">
        <f t="shared" si="34"/>
        <v/>
      </c>
    </row>
    <row r="446" spans="1:13" x14ac:dyDescent="0.2">
      <c r="A446" s="35"/>
      <c r="B446" s="21"/>
      <c r="C446" s="18"/>
      <c r="D446" s="20"/>
      <c r="E446" s="20"/>
      <c r="F446" s="21"/>
      <c r="G446" s="21"/>
      <c r="H446" s="18"/>
      <c r="I446" s="30" t="str">
        <f t="shared" si="30"/>
        <v/>
      </c>
      <c r="J446" s="38" t="str">
        <f t="shared" si="31"/>
        <v/>
      </c>
      <c r="K446" s="30" t="str">
        <f t="shared" si="32"/>
        <v/>
      </c>
      <c r="L446" s="30" t="str">
        <f t="shared" si="33"/>
        <v/>
      </c>
      <c r="M446" s="30" t="str">
        <f t="shared" si="34"/>
        <v/>
      </c>
    </row>
    <row r="447" spans="1:13" x14ac:dyDescent="0.2">
      <c r="A447" s="35"/>
      <c r="B447" s="21"/>
      <c r="C447" s="18"/>
      <c r="D447" s="20"/>
      <c r="E447" s="20"/>
      <c r="F447" s="21"/>
      <c r="G447" s="21"/>
      <c r="H447" s="18"/>
      <c r="I447" s="30" t="str">
        <f t="shared" si="30"/>
        <v/>
      </c>
      <c r="J447" s="38" t="str">
        <f t="shared" si="31"/>
        <v/>
      </c>
      <c r="K447" s="30" t="str">
        <f t="shared" si="32"/>
        <v/>
      </c>
      <c r="L447" s="30" t="str">
        <f t="shared" si="33"/>
        <v/>
      </c>
      <c r="M447" s="30" t="str">
        <f t="shared" si="34"/>
        <v/>
      </c>
    </row>
    <row r="448" spans="1:13" x14ac:dyDescent="0.2">
      <c r="A448" s="35"/>
      <c r="B448" s="21"/>
      <c r="C448" s="18"/>
      <c r="D448" s="20"/>
      <c r="E448" s="20"/>
      <c r="F448" s="21"/>
      <c r="G448" s="21"/>
      <c r="H448" s="18"/>
      <c r="I448" s="30" t="str">
        <f t="shared" si="30"/>
        <v/>
      </c>
      <c r="J448" s="38" t="str">
        <f t="shared" si="31"/>
        <v/>
      </c>
      <c r="K448" s="30" t="str">
        <f t="shared" si="32"/>
        <v/>
      </c>
      <c r="L448" s="30" t="str">
        <f t="shared" si="33"/>
        <v/>
      </c>
      <c r="M448" s="30" t="str">
        <f t="shared" si="34"/>
        <v/>
      </c>
    </row>
    <row r="449" spans="1:13" x14ac:dyDescent="0.2">
      <c r="A449" s="35"/>
      <c r="B449" s="21"/>
      <c r="C449" s="18"/>
      <c r="D449" s="20"/>
      <c r="E449" s="20"/>
      <c r="F449" s="21"/>
      <c r="G449" s="21"/>
      <c r="H449" s="18"/>
      <c r="I449" s="30" t="str">
        <f t="shared" si="30"/>
        <v/>
      </c>
      <c r="J449" s="38" t="str">
        <f t="shared" si="31"/>
        <v/>
      </c>
      <c r="K449" s="30" t="str">
        <f t="shared" si="32"/>
        <v/>
      </c>
      <c r="L449" s="30" t="str">
        <f t="shared" si="33"/>
        <v/>
      </c>
      <c r="M449" s="30" t="str">
        <f t="shared" si="34"/>
        <v/>
      </c>
    </row>
    <row r="450" spans="1:13" x14ac:dyDescent="0.2">
      <c r="A450" s="35"/>
      <c r="B450" s="21"/>
      <c r="C450" s="18"/>
      <c r="D450" s="20"/>
      <c r="E450" s="20"/>
      <c r="F450" s="21"/>
      <c r="G450" s="21"/>
      <c r="H450" s="18"/>
      <c r="I450" s="30" t="str">
        <f t="shared" si="30"/>
        <v/>
      </c>
      <c r="J450" s="38" t="str">
        <f t="shared" si="31"/>
        <v/>
      </c>
      <c r="K450" s="30" t="str">
        <f t="shared" si="32"/>
        <v/>
      </c>
      <c r="L450" s="30" t="str">
        <f t="shared" si="33"/>
        <v/>
      </c>
      <c r="M450" s="30" t="str">
        <f t="shared" si="34"/>
        <v/>
      </c>
    </row>
    <row r="451" spans="1:13" x14ac:dyDescent="0.2">
      <c r="A451" s="35"/>
      <c r="B451" s="21"/>
      <c r="C451" s="18"/>
      <c r="D451" s="20"/>
      <c r="E451" s="20"/>
      <c r="F451" s="21"/>
      <c r="G451" s="21"/>
      <c r="H451" s="18"/>
      <c r="I451" s="30" t="str">
        <f t="shared" si="30"/>
        <v/>
      </c>
      <c r="J451" s="38" t="str">
        <f t="shared" si="31"/>
        <v/>
      </c>
      <c r="K451" s="30" t="str">
        <f t="shared" si="32"/>
        <v/>
      </c>
      <c r="L451" s="30" t="str">
        <f t="shared" si="33"/>
        <v/>
      </c>
      <c r="M451" s="30" t="str">
        <f t="shared" si="34"/>
        <v/>
      </c>
    </row>
    <row r="452" spans="1:13" x14ac:dyDescent="0.2">
      <c r="A452" s="35"/>
      <c r="B452" s="21"/>
      <c r="C452" s="18"/>
      <c r="D452" s="20"/>
      <c r="E452" s="20"/>
      <c r="F452" s="21"/>
      <c r="G452" s="21"/>
      <c r="H452" s="18"/>
      <c r="I452" s="30" t="str">
        <f t="shared" si="30"/>
        <v/>
      </c>
      <c r="J452" s="38" t="str">
        <f t="shared" si="31"/>
        <v/>
      </c>
      <c r="K452" s="30" t="str">
        <f t="shared" si="32"/>
        <v/>
      </c>
      <c r="L452" s="30" t="str">
        <f t="shared" si="33"/>
        <v/>
      </c>
      <c r="M452" s="30" t="str">
        <f t="shared" si="34"/>
        <v/>
      </c>
    </row>
    <row r="453" spans="1:13" x14ac:dyDescent="0.2">
      <c r="A453" s="35"/>
      <c r="B453" s="21"/>
      <c r="C453" s="18"/>
      <c r="D453" s="20"/>
      <c r="E453" s="20"/>
      <c r="F453" s="21"/>
      <c r="G453" s="21"/>
      <c r="H453" s="18"/>
      <c r="I453" s="30" t="str">
        <f t="shared" si="30"/>
        <v/>
      </c>
      <c r="J453" s="38" t="str">
        <f t="shared" si="31"/>
        <v/>
      </c>
      <c r="K453" s="30" t="str">
        <f t="shared" si="32"/>
        <v/>
      </c>
      <c r="L453" s="30" t="str">
        <f t="shared" si="33"/>
        <v/>
      </c>
      <c r="M453" s="30" t="str">
        <f t="shared" si="34"/>
        <v/>
      </c>
    </row>
    <row r="454" spans="1:13" x14ac:dyDescent="0.2">
      <c r="A454" s="35"/>
      <c r="B454" s="21"/>
      <c r="C454" s="18"/>
      <c r="D454" s="20"/>
      <c r="E454" s="20"/>
      <c r="F454" s="21"/>
      <c r="G454" s="21"/>
      <c r="H454" s="18"/>
      <c r="I454" s="30" t="str">
        <f t="shared" ref="I454:I517" si="35">IF(OR(D454="",E454=""),"",ROUND(MOD(E454-D454,1)*1440,0))</f>
        <v/>
      </c>
      <c r="J454" s="38" t="str">
        <f t="shared" ref="J454:J517" si="36">IF(F454="","",IFERROR(INDEX(LYDO_TEN,MATCH(F454,DS_LYDO,0)),"?"))</f>
        <v/>
      </c>
      <c r="K454" s="30" t="str">
        <f t="shared" ref="K454:K517" si="37">IF(F454="","",IFERROR(INDEX(LYDO_LOAI,MATCH(F454,DS_LYDO,0)),"?"))</f>
        <v/>
      </c>
      <c r="L454" s="30" t="str">
        <f t="shared" ref="L454:L517" si="38">IF(F454="","",IFERROR(INDEX(LYDO_BP,MATCH(F454,DS_LYDO,0)),"?"))</f>
        <v/>
      </c>
      <c r="M454" s="30" t="str">
        <f t="shared" ref="M454:M517" si="39">IF(I454="","",IF(MOD(I454,5)=0,1,0))</f>
        <v/>
      </c>
    </row>
    <row r="455" spans="1:13" x14ac:dyDescent="0.2">
      <c r="A455" s="35"/>
      <c r="B455" s="21"/>
      <c r="C455" s="18"/>
      <c r="D455" s="20"/>
      <c r="E455" s="20"/>
      <c r="F455" s="21"/>
      <c r="G455" s="21"/>
      <c r="H455" s="18"/>
      <c r="I455" s="30" t="str">
        <f t="shared" si="35"/>
        <v/>
      </c>
      <c r="J455" s="38" t="str">
        <f t="shared" si="36"/>
        <v/>
      </c>
      <c r="K455" s="30" t="str">
        <f t="shared" si="37"/>
        <v/>
      </c>
      <c r="L455" s="30" t="str">
        <f t="shared" si="38"/>
        <v/>
      </c>
      <c r="M455" s="30" t="str">
        <f t="shared" si="39"/>
        <v/>
      </c>
    </row>
    <row r="456" spans="1:13" x14ac:dyDescent="0.2">
      <c r="A456" s="35"/>
      <c r="B456" s="21"/>
      <c r="C456" s="18"/>
      <c r="D456" s="20"/>
      <c r="E456" s="20"/>
      <c r="F456" s="21"/>
      <c r="G456" s="21"/>
      <c r="H456" s="18"/>
      <c r="I456" s="30" t="str">
        <f t="shared" si="35"/>
        <v/>
      </c>
      <c r="J456" s="38" t="str">
        <f t="shared" si="36"/>
        <v/>
      </c>
      <c r="K456" s="30" t="str">
        <f t="shared" si="37"/>
        <v/>
      </c>
      <c r="L456" s="30" t="str">
        <f t="shared" si="38"/>
        <v/>
      </c>
      <c r="M456" s="30" t="str">
        <f t="shared" si="39"/>
        <v/>
      </c>
    </row>
    <row r="457" spans="1:13" x14ac:dyDescent="0.2">
      <c r="A457" s="35"/>
      <c r="B457" s="21"/>
      <c r="C457" s="18"/>
      <c r="D457" s="20"/>
      <c r="E457" s="20"/>
      <c r="F457" s="21"/>
      <c r="G457" s="21"/>
      <c r="H457" s="18"/>
      <c r="I457" s="30" t="str">
        <f t="shared" si="35"/>
        <v/>
      </c>
      <c r="J457" s="38" t="str">
        <f t="shared" si="36"/>
        <v/>
      </c>
      <c r="K457" s="30" t="str">
        <f t="shared" si="37"/>
        <v/>
      </c>
      <c r="L457" s="30" t="str">
        <f t="shared" si="38"/>
        <v/>
      </c>
      <c r="M457" s="30" t="str">
        <f t="shared" si="39"/>
        <v/>
      </c>
    </row>
    <row r="458" spans="1:13" x14ac:dyDescent="0.2">
      <c r="A458" s="35"/>
      <c r="B458" s="21"/>
      <c r="C458" s="18"/>
      <c r="D458" s="20"/>
      <c r="E458" s="20"/>
      <c r="F458" s="21"/>
      <c r="G458" s="21"/>
      <c r="H458" s="18"/>
      <c r="I458" s="30" t="str">
        <f t="shared" si="35"/>
        <v/>
      </c>
      <c r="J458" s="38" t="str">
        <f t="shared" si="36"/>
        <v/>
      </c>
      <c r="K458" s="30" t="str">
        <f t="shared" si="37"/>
        <v/>
      </c>
      <c r="L458" s="30" t="str">
        <f t="shared" si="38"/>
        <v/>
      </c>
      <c r="M458" s="30" t="str">
        <f t="shared" si="39"/>
        <v/>
      </c>
    </row>
    <row r="459" spans="1:13" x14ac:dyDescent="0.2">
      <c r="A459" s="35"/>
      <c r="B459" s="21"/>
      <c r="C459" s="18"/>
      <c r="D459" s="20"/>
      <c r="E459" s="20"/>
      <c r="F459" s="21"/>
      <c r="G459" s="21"/>
      <c r="H459" s="18"/>
      <c r="I459" s="30" t="str">
        <f t="shared" si="35"/>
        <v/>
      </c>
      <c r="J459" s="38" t="str">
        <f t="shared" si="36"/>
        <v/>
      </c>
      <c r="K459" s="30" t="str">
        <f t="shared" si="37"/>
        <v/>
      </c>
      <c r="L459" s="30" t="str">
        <f t="shared" si="38"/>
        <v/>
      </c>
      <c r="M459" s="30" t="str">
        <f t="shared" si="39"/>
        <v/>
      </c>
    </row>
    <row r="460" spans="1:13" x14ac:dyDescent="0.2">
      <c r="A460" s="35"/>
      <c r="B460" s="21"/>
      <c r="C460" s="18"/>
      <c r="D460" s="20"/>
      <c r="E460" s="20"/>
      <c r="F460" s="21"/>
      <c r="G460" s="21"/>
      <c r="H460" s="18"/>
      <c r="I460" s="30" t="str">
        <f t="shared" si="35"/>
        <v/>
      </c>
      <c r="J460" s="38" t="str">
        <f t="shared" si="36"/>
        <v/>
      </c>
      <c r="K460" s="30" t="str">
        <f t="shared" si="37"/>
        <v/>
      </c>
      <c r="L460" s="30" t="str">
        <f t="shared" si="38"/>
        <v/>
      </c>
      <c r="M460" s="30" t="str">
        <f t="shared" si="39"/>
        <v/>
      </c>
    </row>
    <row r="461" spans="1:13" x14ac:dyDescent="0.2">
      <c r="A461" s="35"/>
      <c r="B461" s="21"/>
      <c r="C461" s="18"/>
      <c r="D461" s="20"/>
      <c r="E461" s="20"/>
      <c r="F461" s="21"/>
      <c r="G461" s="21"/>
      <c r="H461" s="18"/>
      <c r="I461" s="30" t="str">
        <f t="shared" si="35"/>
        <v/>
      </c>
      <c r="J461" s="38" t="str">
        <f t="shared" si="36"/>
        <v/>
      </c>
      <c r="K461" s="30" t="str">
        <f t="shared" si="37"/>
        <v/>
      </c>
      <c r="L461" s="30" t="str">
        <f t="shared" si="38"/>
        <v/>
      </c>
      <c r="M461" s="30" t="str">
        <f t="shared" si="39"/>
        <v/>
      </c>
    </row>
    <row r="462" spans="1:13" x14ac:dyDescent="0.2">
      <c r="A462" s="35"/>
      <c r="B462" s="21"/>
      <c r="C462" s="18"/>
      <c r="D462" s="20"/>
      <c r="E462" s="20"/>
      <c r="F462" s="21"/>
      <c r="G462" s="21"/>
      <c r="H462" s="18"/>
      <c r="I462" s="30" t="str">
        <f t="shared" si="35"/>
        <v/>
      </c>
      <c r="J462" s="38" t="str">
        <f t="shared" si="36"/>
        <v/>
      </c>
      <c r="K462" s="30" t="str">
        <f t="shared" si="37"/>
        <v/>
      </c>
      <c r="L462" s="30" t="str">
        <f t="shared" si="38"/>
        <v/>
      </c>
      <c r="M462" s="30" t="str">
        <f t="shared" si="39"/>
        <v/>
      </c>
    </row>
    <row r="463" spans="1:13" x14ac:dyDescent="0.2">
      <c r="A463" s="35"/>
      <c r="B463" s="21"/>
      <c r="C463" s="18"/>
      <c r="D463" s="20"/>
      <c r="E463" s="20"/>
      <c r="F463" s="21"/>
      <c r="G463" s="21"/>
      <c r="H463" s="18"/>
      <c r="I463" s="30" t="str">
        <f t="shared" si="35"/>
        <v/>
      </c>
      <c r="J463" s="38" t="str">
        <f t="shared" si="36"/>
        <v/>
      </c>
      <c r="K463" s="30" t="str">
        <f t="shared" si="37"/>
        <v/>
      </c>
      <c r="L463" s="30" t="str">
        <f t="shared" si="38"/>
        <v/>
      </c>
      <c r="M463" s="30" t="str">
        <f t="shared" si="39"/>
        <v/>
      </c>
    </row>
    <row r="464" spans="1:13" x14ac:dyDescent="0.2">
      <c r="A464" s="35"/>
      <c r="B464" s="21"/>
      <c r="C464" s="18"/>
      <c r="D464" s="20"/>
      <c r="E464" s="20"/>
      <c r="F464" s="21"/>
      <c r="G464" s="21"/>
      <c r="H464" s="18"/>
      <c r="I464" s="30" t="str">
        <f t="shared" si="35"/>
        <v/>
      </c>
      <c r="J464" s="38" t="str">
        <f t="shared" si="36"/>
        <v/>
      </c>
      <c r="K464" s="30" t="str">
        <f t="shared" si="37"/>
        <v/>
      </c>
      <c r="L464" s="30" t="str">
        <f t="shared" si="38"/>
        <v/>
      </c>
      <c r="M464" s="30" t="str">
        <f t="shared" si="39"/>
        <v/>
      </c>
    </row>
    <row r="465" spans="1:13" x14ac:dyDescent="0.2">
      <c r="A465" s="35"/>
      <c r="B465" s="21"/>
      <c r="C465" s="18"/>
      <c r="D465" s="20"/>
      <c r="E465" s="20"/>
      <c r="F465" s="21"/>
      <c r="G465" s="21"/>
      <c r="H465" s="18"/>
      <c r="I465" s="30" t="str">
        <f t="shared" si="35"/>
        <v/>
      </c>
      <c r="J465" s="38" t="str">
        <f t="shared" si="36"/>
        <v/>
      </c>
      <c r="K465" s="30" t="str">
        <f t="shared" si="37"/>
        <v/>
      </c>
      <c r="L465" s="30" t="str">
        <f t="shared" si="38"/>
        <v/>
      </c>
      <c r="M465" s="30" t="str">
        <f t="shared" si="39"/>
        <v/>
      </c>
    </row>
    <row r="466" spans="1:13" x14ac:dyDescent="0.2">
      <c r="A466" s="35"/>
      <c r="B466" s="21"/>
      <c r="C466" s="18"/>
      <c r="D466" s="20"/>
      <c r="E466" s="20"/>
      <c r="F466" s="21"/>
      <c r="G466" s="21"/>
      <c r="H466" s="18"/>
      <c r="I466" s="30" t="str">
        <f t="shared" si="35"/>
        <v/>
      </c>
      <c r="J466" s="38" t="str">
        <f t="shared" si="36"/>
        <v/>
      </c>
      <c r="K466" s="30" t="str">
        <f t="shared" si="37"/>
        <v/>
      </c>
      <c r="L466" s="30" t="str">
        <f t="shared" si="38"/>
        <v/>
      </c>
      <c r="M466" s="30" t="str">
        <f t="shared" si="39"/>
        <v/>
      </c>
    </row>
    <row r="467" spans="1:13" x14ac:dyDescent="0.2">
      <c r="A467" s="35"/>
      <c r="B467" s="21"/>
      <c r="C467" s="18"/>
      <c r="D467" s="20"/>
      <c r="E467" s="20"/>
      <c r="F467" s="21"/>
      <c r="G467" s="21"/>
      <c r="H467" s="18"/>
      <c r="I467" s="30" t="str">
        <f t="shared" si="35"/>
        <v/>
      </c>
      <c r="J467" s="38" t="str">
        <f t="shared" si="36"/>
        <v/>
      </c>
      <c r="K467" s="30" t="str">
        <f t="shared" si="37"/>
        <v/>
      </c>
      <c r="L467" s="30" t="str">
        <f t="shared" si="38"/>
        <v/>
      </c>
      <c r="M467" s="30" t="str">
        <f t="shared" si="39"/>
        <v/>
      </c>
    </row>
    <row r="468" spans="1:13" x14ac:dyDescent="0.2">
      <c r="A468" s="35"/>
      <c r="B468" s="21"/>
      <c r="C468" s="18"/>
      <c r="D468" s="20"/>
      <c r="E468" s="20"/>
      <c r="F468" s="21"/>
      <c r="G468" s="21"/>
      <c r="H468" s="18"/>
      <c r="I468" s="30" t="str">
        <f t="shared" si="35"/>
        <v/>
      </c>
      <c r="J468" s="38" t="str">
        <f t="shared" si="36"/>
        <v/>
      </c>
      <c r="K468" s="30" t="str">
        <f t="shared" si="37"/>
        <v/>
      </c>
      <c r="L468" s="30" t="str">
        <f t="shared" si="38"/>
        <v/>
      </c>
      <c r="M468" s="30" t="str">
        <f t="shared" si="39"/>
        <v/>
      </c>
    </row>
    <row r="469" spans="1:13" x14ac:dyDescent="0.2">
      <c r="A469" s="35"/>
      <c r="B469" s="21"/>
      <c r="C469" s="18"/>
      <c r="D469" s="20"/>
      <c r="E469" s="20"/>
      <c r="F469" s="21"/>
      <c r="G469" s="21"/>
      <c r="H469" s="18"/>
      <c r="I469" s="30" t="str">
        <f t="shared" si="35"/>
        <v/>
      </c>
      <c r="J469" s="38" t="str">
        <f t="shared" si="36"/>
        <v/>
      </c>
      <c r="K469" s="30" t="str">
        <f t="shared" si="37"/>
        <v/>
      </c>
      <c r="L469" s="30" t="str">
        <f t="shared" si="38"/>
        <v/>
      </c>
      <c r="M469" s="30" t="str">
        <f t="shared" si="39"/>
        <v/>
      </c>
    </row>
    <row r="470" spans="1:13" x14ac:dyDescent="0.2">
      <c r="A470" s="35"/>
      <c r="B470" s="21"/>
      <c r="C470" s="18"/>
      <c r="D470" s="20"/>
      <c r="E470" s="20"/>
      <c r="F470" s="21"/>
      <c r="G470" s="21"/>
      <c r="H470" s="18"/>
      <c r="I470" s="30" t="str">
        <f t="shared" si="35"/>
        <v/>
      </c>
      <c r="J470" s="38" t="str">
        <f t="shared" si="36"/>
        <v/>
      </c>
      <c r="K470" s="30" t="str">
        <f t="shared" si="37"/>
        <v/>
      </c>
      <c r="L470" s="30" t="str">
        <f t="shared" si="38"/>
        <v/>
      </c>
      <c r="M470" s="30" t="str">
        <f t="shared" si="39"/>
        <v/>
      </c>
    </row>
    <row r="471" spans="1:13" x14ac:dyDescent="0.2">
      <c r="A471" s="35"/>
      <c r="B471" s="21"/>
      <c r="C471" s="18"/>
      <c r="D471" s="20"/>
      <c r="E471" s="20"/>
      <c r="F471" s="21"/>
      <c r="G471" s="21"/>
      <c r="H471" s="18"/>
      <c r="I471" s="30" t="str">
        <f t="shared" si="35"/>
        <v/>
      </c>
      <c r="J471" s="38" t="str">
        <f t="shared" si="36"/>
        <v/>
      </c>
      <c r="K471" s="30" t="str">
        <f t="shared" si="37"/>
        <v/>
      </c>
      <c r="L471" s="30" t="str">
        <f t="shared" si="38"/>
        <v/>
      </c>
      <c r="M471" s="30" t="str">
        <f t="shared" si="39"/>
        <v/>
      </c>
    </row>
    <row r="472" spans="1:13" x14ac:dyDescent="0.2">
      <c r="A472" s="35"/>
      <c r="B472" s="21"/>
      <c r="C472" s="18"/>
      <c r="D472" s="20"/>
      <c r="E472" s="20"/>
      <c r="F472" s="21"/>
      <c r="G472" s="21"/>
      <c r="H472" s="18"/>
      <c r="I472" s="30" t="str">
        <f t="shared" si="35"/>
        <v/>
      </c>
      <c r="J472" s="38" t="str">
        <f t="shared" si="36"/>
        <v/>
      </c>
      <c r="K472" s="30" t="str">
        <f t="shared" si="37"/>
        <v/>
      </c>
      <c r="L472" s="30" t="str">
        <f t="shared" si="38"/>
        <v/>
      </c>
      <c r="M472" s="30" t="str">
        <f t="shared" si="39"/>
        <v/>
      </c>
    </row>
    <row r="473" spans="1:13" x14ac:dyDescent="0.2">
      <c r="A473" s="35"/>
      <c r="B473" s="21"/>
      <c r="C473" s="18"/>
      <c r="D473" s="20"/>
      <c r="E473" s="20"/>
      <c r="F473" s="21"/>
      <c r="G473" s="21"/>
      <c r="H473" s="18"/>
      <c r="I473" s="30" t="str">
        <f t="shared" si="35"/>
        <v/>
      </c>
      <c r="J473" s="38" t="str">
        <f t="shared" si="36"/>
        <v/>
      </c>
      <c r="K473" s="30" t="str">
        <f t="shared" si="37"/>
        <v/>
      </c>
      <c r="L473" s="30" t="str">
        <f t="shared" si="38"/>
        <v/>
      </c>
      <c r="M473" s="30" t="str">
        <f t="shared" si="39"/>
        <v/>
      </c>
    </row>
    <row r="474" spans="1:13" x14ac:dyDescent="0.2">
      <c r="A474" s="35"/>
      <c r="B474" s="21"/>
      <c r="C474" s="18"/>
      <c r="D474" s="20"/>
      <c r="E474" s="20"/>
      <c r="F474" s="21"/>
      <c r="G474" s="21"/>
      <c r="H474" s="18"/>
      <c r="I474" s="30" t="str">
        <f t="shared" si="35"/>
        <v/>
      </c>
      <c r="J474" s="38" t="str">
        <f t="shared" si="36"/>
        <v/>
      </c>
      <c r="K474" s="30" t="str">
        <f t="shared" si="37"/>
        <v/>
      </c>
      <c r="L474" s="30" t="str">
        <f t="shared" si="38"/>
        <v/>
      </c>
      <c r="M474" s="30" t="str">
        <f t="shared" si="39"/>
        <v/>
      </c>
    </row>
    <row r="475" spans="1:13" x14ac:dyDescent="0.2">
      <c r="A475" s="35"/>
      <c r="B475" s="21"/>
      <c r="C475" s="18"/>
      <c r="D475" s="20"/>
      <c r="E475" s="20"/>
      <c r="F475" s="21"/>
      <c r="G475" s="21"/>
      <c r="H475" s="18"/>
      <c r="I475" s="30" t="str">
        <f t="shared" si="35"/>
        <v/>
      </c>
      <c r="J475" s="38" t="str">
        <f t="shared" si="36"/>
        <v/>
      </c>
      <c r="K475" s="30" t="str">
        <f t="shared" si="37"/>
        <v/>
      </c>
      <c r="L475" s="30" t="str">
        <f t="shared" si="38"/>
        <v/>
      </c>
      <c r="M475" s="30" t="str">
        <f t="shared" si="39"/>
        <v/>
      </c>
    </row>
    <row r="476" spans="1:13" x14ac:dyDescent="0.2">
      <c r="A476" s="35"/>
      <c r="B476" s="21"/>
      <c r="C476" s="18"/>
      <c r="D476" s="20"/>
      <c r="E476" s="20"/>
      <c r="F476" s="21"/>
      <c r="G476" s="21"/>
      <c r="H476" s="18"/>
      <c r="I476" s="30" t="str">
        <f t="shared" si="35"/>
        <v/>
      </c>
      <c r="J476" s="38" t="str">
        <f t="shared" si="36"/>
        <v/>
      </c>
      <c r="K476" s="30" t="str">
        <f t="shared" si="37"/>
        <v/>
      </c>
      <c r="L476" s="30" t="str">
        <f t="shared" si="38"/>
        <v/>
      </c>
      <c r="M476" s="30" t="str">
        <f t="shared" si="39"/>
        <v/>
      </c>
    </row>
    <row r="477" spans="1:13" x14ac:dyDescent="0.2">
      <c r="A477" s="35"/>
      <c r="B477" s="21"/>
      <c r="C477" s="18"/>
      <c r="D477" s="20"/>
      <c r="E477" s="20"/>
      <c r="F477" s="21"/>
      <c r="G477" s="21"/>
      <c r="H477" s="18"/>
      <c r="I477" s="30" t="str">
        <f t="shared" si="35"/>
        <v/>
      </c>
      <c r="J477" s="38" t="str">
        <f t="shared" si="36"/>
        <v/>
      </c>
      <c r="K477" s="30" t="str">
        <f t="shared" si="37"/>
        <v/>
      </c>
      <c r="L477" s="30" t="str">
        <f t="shared" si="38"/>
        <v/>
      </c>
      <c r="M477" s="30" t="str">
        <f t="shared" si="39"/>
        <v/>
      </c>
    </row>
    <row r="478" spans="1:13" x14ac:dyDescent="0.2">
      <c r="A478" s="35"/>
      <c r="B478" s="21"/>
      <c r="C478" s="18"/>
      <c r="D478" s="20"/>
      <c r="E478" s="20"/>
      <c r="F478" s="21"/>
      <c r="G478" s="21"/>
      <c r="H478" s="18"/>
      <c r="I478" s="30" t="str">
        <f t="shared" si="35"/>
        <v/>
      </c>
      <c r="J478" s="38" t="str">
        <f t="shared" si="36"/>
        <v/>
      </c>
      <c r="K478" s="30" t="str">
        <f t="shared" si="37"/>
        <v/>
      </c>
      <c r="L478" s="30" t="str">
        <f t="shared" si="38"/>
        <v/>
      </c>
      <c r="M478" s="30" t="str">
        <f t="shared" si="39"/>
        <v/>
      </c>
    </row>
    <row r="479" spans="1:13" x14ac:dyDescent="0.2">
      <c r="A479" s="35"/>
      <c r="B479" s="21"/>
      <c r="C479" s="18"/>
      <c r="D479" s="20"/>
      <c r="E479" s="20"/>
      <c r="F479" s="21"/>
      <c r="G479" s="21"/>
      <c r="H479" s="18"/>
      <c r="I479" s="30" t="str">
        <f t="shared" si="35"/>
        <v/>
      </c>
      <c r="J479" s="38" t="str">
        <f t="shared" si="36"/>
        <v/>
      </c>
      <c r="K479" s="30" t="str">
        <f t="shared" si="37"/>
        <v/>
      </c>
      <c r="L479" s="30" t="str">
        <f t="shared" si="38"/>
        <v/>
      </c>
      <c r="M479" s="30" t="str">
        <f t="shared" si="39"/>
        <v/>
      </c>
    </row>
    <row r="480" spans="1:13" x14ac:dyDescent="0.2">
      <c r="A480" s="35"/>
      <c r="B480" s="21"/>
      <c r="C480" s="18"/>
      <c r="D480" s="20"/>
      <c r="E480" s="20"/>
      <c r="F480" s="21"/>
      <c r="G480" s="21"/>
      <c r="H480" s="18"/>
      <c r="I480" s="30" t="str">
        <f t="shared" si="35"/>
        <v/>
      </c>
      <c r="J480" s="38" t="str">
        <f t="shared" si="36"/>
        <v/>
      </c>
      <c r="K480" s="30" t="str">
        <f t="shared" si="37"/>
        <v/>
      </c>
      <c r="L480" s="30" t="str">
        <f t="shared" si="38"/>
        <v/>
      </c>
      <c r="M480" s="30" t="str">
        <f t="shared" si="39"/>
        <v/>
      </c>
    </row>
    <row r="481" spans="1:13" x14ac:dyDescent="0.2">
      <c r="A481" s="35"/>
      <c r="B481" s="21"/>
      <c r="C481" s="18"/>
      <c r="D481" s="20"/>
      <c r="E481" s="20"/>
      <c r="F481" s="21"/>
      <c r="G481" s="21"/>
      <c r="H481" s="18"/>
      <c r="I481" s="30" t="str">
        <f t="shared" si="35"/>
        <v/>
      </c>
      <c r="J481" s="38" t="str">
        <f t="shared" si="36"/>
        <v/>
      </c>
      <c r="K481" s="30" t="str">
        <f t="shared" si="37"/>
        <v/>
      </c>
      <c r="L481" s="30" t="str">
        <f t="shared" si="38"/>
        <v/>
      </c>
      <c r="M481" s="30" t="str">
        <f t="shared" si="39"/>
        <v/>
      </c>
    </row>
    <row r="482" spans="1:13" x14ac:dyDescent="0.2">
      <c r="A482" s="35"/>
      <c r="B482" s="21"/>
      <c r="C482" s="18"/>
      <c r="D482" s="20"/>
      <c r="E482" s="20"/>
      <c r="F482" s="21"/>
      <c r="G482" s="21"/>
      <c r="H482" s="18"/>
      <c r="I482" s="30" t="str">
        <f t="shared" si="35"/>
        <v/>
      </c>
      <c r="J482" s="38" t="str">
        <f t="shared" si="36"/>
        <v/>
      </c>
      <c r="K482" s="30" t="str">
        <f t="shared" si="37"/>
        <v/>
      </c>
      <c r="L482" s="30" t="str">
        <f t="shared" si="38"/>
        <v/>
      </c>
      <c r="M482" s="30" t="str">
        <f t="shared" si="39"/>
        <v/>
      </c>
    </row>
    <row r="483" spans="1:13" x14ac:dyDescent="0.2">
      <c r="A483" s="35"/>
      <c r="B483" s="21"/>
      <c r="C483" s="18"/>
      <c r="D483" s="20"/>
      <c r="E483" s="20"/>
      <c r="F483" s="21"/>
      <c r="G483" s="21"/>
      <c r="H483" s="18"/>
      <c r="I483" s="30" t="str">
        <f t="shared" si="35"/>
        <v/>
      </c>
      <c r="J483" s="38" t="str">
        <f t="shared" si="36"/>
        <v/>
      </c>
      <c r="K483" s="30" t="str">
        <f t="shared" si="37"/>
        <v/>
      </c>
      <c r="L483" s="30" t="str">
        <f t="shared" si="38"/>
        <v/>
      </c>
      <c r="M483" s="30" t="str">
        <f t="shared" si="39"/>
        <v/>
      </c>
    </row>
    <row r="484" spans="1:13" x14ac:dyDescent="0.2">
      <c r="A484" s="35"/>
      <c r="B484" s="21"/>
      <c r="C484" s="18"/>
      <c r="D484" s="20"/>
      <c r="E484" s="20"/>
      <c r="F484" s="21"/>
      <c r="G484" s="21"/>
      <c r="H484" s="18"/>
      <c r="I484" s="30" t="str">
        <f t="shared" si="35"/>
        <v/>
      </c>
      <c r="J484" s="38" t="str">
        <f t="shared" si="36"/>
        <v/>
      </c>
      <c r="K484" s="30" t="str">
        <f t="shared" si="37"/>
        <v/>
      </c>
      <c r="L484" s="30" t="str">
        <f t="shared" si="38"/>
        <v/>
      </c>
      <c r="M484" s="30" t="str">
        <f t="shared" si="39"/>
        <v/>
      </c>
    </row>
    <row r="485" spans="1:13" x14ac:dyDescent="0.2">
      <c r="A485" s="35"/>
      <c r="B485" s="21"/>
      <c r="C485" s="18"/>
      <c r="D485" s="20"/>
      <c r="E485" s="20"/>
      <c r="F485" s="21"/>
      <c r="G485" s="21"/>
      <c r="H485" s="18"/>
      <c r="I485" s="30" t="str">
        <f t="shared" si="35"/>
        <v/>
      </c>
      <c r="J485" s="38" t="str">
        <f t="shared" si="36"/>
        <v/>
      </c>
      <c r="K485" s="30" t="str">
        <f t="shared" si="37"/>
        <v/>
      </c>
      <c r="L485" s="30" t="str">
        <f t="shared" si="38"/>
        <v/>
      </c>
      <c r="M485" s="30" t="str">
        <f t="shared" si="39"/>
        <v/>
      </c>
    </row>
    <row r="486" spans="1:13" x14ac:dyDescent="0.2">
      <c r="A486" s="35"/>
      <c r="B486" s="21"/>
      <c r="C486" s="18"/>
      <c r="D486" s="20"/>
      <c r="E486" s="20"/>
      <c r="F486" s="21"/>
      <c r="G486" s="21"/>
      <c r="H486" s="18"/>
      <c r="I486" s="30" t="str">
        <f t="shared" si="35"/>
        <v/>
      </c>
      <c r="J486" s="38" t="str">
        <f t="shared" si="36"/>
        <v/>
      </c>
      <c r="K486" s="30" t="str">
        <f t="shared" si="37"/>
        <v/>
      </c>
      <c r="L486" s="30" t="str">
        <f t="shared" si="38"/>
        <v/>
      </c>
      <c r="M486" s="30" t="str">
        <f t="shared" si="39"/>
        <v/>
      </c>
    </row>
    <row r="487" spans="1:13" x14ac:dyDescent="0.2">
      <c r="A487" s="35"/>
      <c r="B487" s="21"/>
      <c r="C487" s="18"/>
      <c r="D487" s="20"/>
      <c r="E487" s="20"/>
      <c r="F487" s="21"/>
      <c r="G487" s="21"/>
      <c r="H487" s="18"/>
      <c r="I487" s="30" t="str">
        <f t="shared" si="35"/>
        <v/>
      </c>
      <c r="J487" s="38" t="str">
        <f t="shared" si="36"/>
        <v/>
      </c>
      <c r="K487" s="30" t="str">
        <f t="shared" si="37"/>
        <v/>
      </c>
      <c r="L487" s="30" t="str">
        <f t="shared" si="38"/>
        <v/>
      </c>
      <c r="M487" s="30" t="str">
        <f t="shared" si="39"/>
        <v/>
      </c>
    </row>
    <row r="488" spans="1:13" x14ac:dyDescent="0.2">
      <c r="A488" s="35"/>
      <c r="B488" s="21"/>
      <c r="C488" s="18"/>
      <c r="D488" s="20"/>
      <c r="E488" s="20"/>
      <c r="F488" s="21"/>
      <c r="G488" s="21"/>
      <c r="H488" s="18"/>
      <c r="I488" s="30" t="str">
        <f t="shared" si="35"/>
        <v/>
      </c>
      <c r="J488" s="38" t="str">
        <f t="shared" si="36"/>
        <v/>
      </c>
      <c r="K488" s="30" t="str">
        <f t="shared" si="37"/>
        <v/>
      </c>
      <c r="L488" s="30" t="str">
        <f t="shared" si="38"/>
        <v/>
      </c>
      <c r="M488" s="30" t="str">
        <f t="shared" si="39"/>
        <v/>
      </c>
    </row>
    <row r="489" spans="1:13" x14ac:dyDescent="0.2">
      <c r="A489" s="35"/>
      <c r="B489" s="21"/>
      <c r="C489" s="18"/>
      <c r="D489" s="20"/>
      <c r="E489" s="20"/>
      <c r="F489" s="21"/>
      <c r="G489" s="21"/>
      <c r="H489" s="18"/>
      <c r="I489" s="30" t="str">
        <f t="shared" si="35"/>
        <v/>
      </c>
      <c r="J489" s="38" t="str">
        <f t="shared" si="36"/>
        <v/>
      </c>
      <c r="K489" s="30" t="str">
        <f t="shared" si="37"/>
        <v/>
      </c>
      <c r="L489" s="30" t="str">
        <f t="shared" si="38"/>
        <v/>
      </c>
      <c r="M489" s="30" t="str">
        <f t="shared" si="39"/>
        <v/>
      </c>
    </row>
    <row r="490" spans="1:13" x14ac:dyDescent="0.2">
      <c r="A490" s="35"/>
      <c r="B490" s="21"/>
      <c r="C490" s="18"/>
      <c r="D490" s="20"/>
      <c r="E490" s="20"/>
      <c r="F490" s="21"/>
      <c r="G490" s="21"/>
      <c r="H490" s="18"/>
      <c r="I490" s="30" t="str">
        <f t="shared" si="35"/>
        <v/>
      </c>
      <c r="J490" s="38" t="str">
        <f t="shared" si="36"/>
        <v/>
      </c>
      <c r="K490" s="30" t="str">
        <f t="shared" si="37"/>
        <v/>
      </c>
      <c r="L490" s="30" t="str">
        <f t="shared" si="38"/>
        <v/>
      </c>
      <c r="M490" s="30" t="str">
        <f t="shared" si="39"/>
        <v/>
      </c>
    </row>
    <row r="491" spans="1:13" x14ac:dyDescent="0.2">
      <c r="A491" s="35"/>
      <c r="B491" s="21"/>
      <c r="C491" s="18"/>
      <c r="D491" s="20"/>
      <c r="E491" s="20"/>
      <c r="F491" s="21"/>
      <c r="G491" s="21"/>
      <c r="H491" s="18"/>
      <c r="I491" s="30" t="str">
        <f t="shared" si="35"/>
        <v/>
      </c>
      <c r="J491" s="38" t="str">
        <f t="shared" si="36"/>
        <v/>
      </c>
      <c r="K491" s="30" t="str">
        <f t="shared" si="37"/>
        <v/>
      </c>
      <c r="L491" s="30" t="str">
        <f t="shared" si="38"/>
        <v/>
      </c>
      <c r="M491" s="30" t="str">
        <f t="shared" si="39"/>
        <v/>
      </c>
    </row>
    <row r="492" spans="1:13" x14ac:dyDescent="0.2">
      <c r="A492" s="35"/>
      <c r="B492" s="21"/>
      <c r="C492" s="18"/>
      <c r="D492" s="20"/>
      <c r="E492" s="20"/>
      <c r="F492" s="21"/>
      <c r="G492" s="21"/>
      <c r="H492" s="18"/>
      <c r="I492" s="30" t="str">
        <f t="shared" si="35"/>
        <v/>
      </c>
      <c r="J492" s="38" t="str">
        <f t="shared" si="36"/>
        <v/>
      </c>
      <c r="K492" s="30" t="str">
        <f t="shared" si="37"/>
        <v/>
      </c>
      <c r="L492" s="30" t="str">
        <f t="shared" si="38"/>
        <v/>
      </c>
      <c r="M492" s="30" t="str">
        <f t="shared" si="39"/>
        <v/>
      </c>
    </row>
    <row r="493" spans="1:13" x14ac:dyDescent="0.2">
      <c r="A493" s="35"/>
      <c r="B493" s="21"/>
      <c r="C493" s="18"/>
      <c r="D493" s="20"/>
      <c r="E493" s="20"/>
      <c r="F493" s="21"/>
      <c r="G493" s="21"/>
      <c r="H493" s="18"/>
      <c r="I493" s="30" t="str">
        <f t="shared" si="35"/>
        <v/>
      </c>
      <c r="J493" s="38" t="str">
        <f t="shared" si="36"/>
        <v/>
      </c>
      <c r="K493" s="30" t="str">
        <f t="shared" si="37"/>
        <v/>
      </c>
      <c r="L493" s="30" t="str">
        <f t="shared" si="38"/>
        <v/>
      </c>
      <c r="M493" s="30" t="str">
        <f t="shared" si="39"/>
        <v/>
      </c>
    </row>
    <row r="494" spans="1:13" x14ac:dyDescent="0.2">
      <c r="A494" s="35"/>
      <c r="B494" s="21"/>
      <c r="C494" s="18"/>
      <c r="D494" s="20"/>
      <c r="E494" s="20"/>
      <c r="F494" s="21"/>
      <c r="G494" s="21"/>
      <c r="H494" s="18"/>
      <c r="I494" s="30" t="str">
        <f t="shared" si="35"/>
        <v/>
      </c>
      <c r="J494" s="38" t="str">
        <f t="shared" si="36"/>
        <v/>
      </c>
      <c r="K494" s="30" t="str">
        <f t="shared" si="37"/>
        <v/>
      </c>
      <c r="L494" s="30" t="str">
        <f t="shared" si="38"/>
        <v/>
      </c>
      <c r="M494" s="30" t="str">
        <f t="shared" si="39"/>
        <v/>
      </c>
    </row>
    <row r="495" spans="1:13" x14ac:dyDescent="0.2">
      <c r="A495" s="35"/>
      <c r="B495" s="21"/>
      <c r="C495" s="18"/>
      <c r="D495" s="20"/>
      <c r="E495" s="20"/>
      <c r="F495" s="21"/>
      <c r="G495" s="21"/>
      <c r="H495" s="18"/>
      <c r="I495" s="30" t="str">
        <f t="shared" si="35"/>
        <v/>
      </c>
      <c r="J495" s="38" t="str">
        <f t="shared" si="36"/>
        <v/>
      </c>
      <c r="K495" s="30" t="str">
        <f t="shared" si="37"/>
        <v/>
      </c>
      <c r="L495" s="30" t="str">
        <f t="shared" si="38"/>
        <v/>
      </c>
      <c r="M495" s="30" t="str">
        <f t="shared" si="39"/>
        <v/>
      </c>
    </row>
    <row r="496" spans="1:13" x14ac:dyDescent="0.2">
      <c r="A496" s="35"/>
      <c r="B496" s="21"/>
      <c r="C496" s="18"/>
      <c r="D496" s="20"/>
      <c r="E496" s="20"/>
      <c r="F496" s="21"/>
      <c r="G496" s="21"/>
      <c r="H496" s="18"/>
      <c r="I496" s="30" t="str">
        <f t="shared" si="35"/>
        <v/>
      </c>
      <c r="J496" s="38" t="str">
        <f t="shared" si="36"/>
        <v/>
      </c>
      <c r="K496" s="30" t="str">
        <f t="shared" si="37"/>
        <v/>
      </c>
      <c r="L496" s="30" t="str">
        <f t="shared" si="38"/>
        <v/>
      </c>
      <c r="M496" s="30" t="str">
        <f t="shared" si="39"/>
        <v/>
      </c>
    </row>
    <row r="497" spans="1:13" x14ac:dyDescent="0.2">
      <c r="A497" s="35"/>
      <c r="B497" s="21"/>
      <c r="C497" s="18"/>
      <c r="D497" s="20"/>
      <c r="E497" s="20"/>
      <c r="F497" s="21"/>
      <c r="G497" s="21"/>
      <c r="H497" s="18"/>
      <c r="I497" s="30" t="str">
        <f t="shared" si="35"/>
        <v/>
      </c>
      <c r="J497" s="38" t="str">
        <f t="shared" si="36"/>
        <v/>
      </c>
      <c r="K497" s="30" t="str">
        <f t="shared" si="37"/>
        <v/>
      </c>
      <c r="L497" s="30" t="str">
        <f t="shared" si="38"/>
        <v/>
      </c>
      <c r="M497" s="30" t="str">
        <f t="shared" si="39"/>
        <v/>
      </c>
    </row>
    <row r="498" spans="1:13" x14ac:dyDescent="0.2">
      <c r="A498" s="35"/>
      <c r="B498" s="21"/>
      <c r="C498" s="18"/>
      <c r="D498" s="20"/>
      <c r="E498" s="20"/>
      <c r="F498" s="21"/>
      <c r="G498" s="21"/>
      <c r="H498" s="18"/>
      <c r="I498" s="30" t="str">
        <f t="shared" si="35"/>
        <v/>
      </c>
      <c r="J498" s="38" t="str">
        <f t="shared" si="36"/>
        <v/>
      </c>
      <c r="K498" s="30" t="str">
        <f t="shared" si="37"/>
        <v/>
      </c>
      <c r="L498" s="30" t="str">
        <f t="shared" si="38"/>
        <v/>
      </c>
      <c r="M498" s="30" t="str">
        <f t="shared" si="39"/>
        <v/>
      </c>
    </row>
    <row r="499" spans="1:13" x14ac:dyDescent="0.2">
      <c r="A499" s="35"/>
      <c r="B499" s="21"/>
      <c r="C499" s="18"/>
      <c r="D499" s="20"/>
      <c r="E499" s="20"/>
      <c r="F499" s="21"/>
      <c r="G499" s="21"/>
      <c r="H499" s="18"/>
      <c r="I499" s="30" t="str">
        <f t="shared" si="35"/>
        <v/>
      </c>
      <c r="J499" s="38" t="str">
        <f t="shared" si="36"/>
        <v/>
      </c>
      <c r="K499" s="30" t="str">
        <f t="shared" si="37"/>
        <v/>
      </c>
      <c r="L499" s="30" t="str">
        <f t="shared" si="38"/>
        <v/>
      </c>
      <c r="M499" s="30" t="str">
        <f t="shared" si="39"/>
        <v/>
      </c>
    </row>
    <row r="500" spans="1:13" x14ac:dyDescent="0.2">
      <c r="A500" s="35"/>
      <c r="B500" s="21"/>
      <c r="C500" s="18"/>
      <c r="D500" s="20"/>
      <c r="E500" s="20"/>
      <c r="F500" s="21"/>
      <c r="G500" s="21"/>
      <c r="H500" s="18"/>
      <c r="I500" s="30" t="str">
        <f t="shared" si="35"/>
        <v/>
      </c>
      <c r="J500" s="38" t="str">
        <f t="shared" si="36"/>
        <v/>
      </c>
      <c r="K500" s="30" t="str">
        <f t="shared" si="37"/>
        <v/>
      </c>
      <c r="L500" s="30" t="str">
        <f t="shared" si="38"/>
        <v/>
      </c>
      <c r="M500" s="30" t="str">
        <f t="shared" si="39"/>
        <v/>
      </c>
    </row>
    <row r="501" spans="1:13" x14ac:dyDescent="0.2">
      <c r="A501" s="35"/>
      <c r="B501" s="21"/>
      <c r="C501" s="18"/>
      <c r="D501" s="20"/>
      <c r="E501" s="20"/>
      <c r="F501" s="21"/>
      <c r="G501" s="21"/>
      <c r="H501" s="18"/>
      <c r="I501" s="30" t="str">
        <f t="shared" si="35"/>
        <v/>
      </c>
      <c r="J501" s="38" t="str">
        <f t="shared" si="36"/>
        <v/>
      </c>
      <c r="K501" s="30" t="str">
        <f t="shared" si="37"/>
        <v/>
      </c>
      <c r="L501" s="30" t="str">
        <f t="shared" si="38"/>
        <v/>
      </c>
      <c r="M501" s="30" t="str">
        <f t="shared" si="39"/>
        <v/>
      </c>
    </row>
    <row r="502" spans="1:13" x14ac:dyDescent="0.2">
      <c r="A502" s="35"/>
      <c r="B502" s="21"/>
      <c r="C502" s="18"/>
      <c r="D502" s="20"/>
      <c r="E502" s="20"/>
      <c r="F502" s="21"/>
      <c r="G502" s="21"/>
      <c r="H502" s="18"/>
      <c r="I502" s="30" t="str">
        <f t="shared" si="35"/>
        <v/>
      </c>
      <c r="J502" s="38" t="str">
        <f t="shared" si="36"/>
        <v/>
      </c>
      <c r="K502" s="30" t="str">
        <f t="shared" si="37"/>
        <v/>
      </c>
      <c r="L502" s="30" t="str">
        <f t="shared" si="38"/>
        <v/>
      </c>
      <c r="M502" s="30" t="str">
        <f t="shared" si="39"/>
        <v/>
      </c>
    </row>
    <row r="503" spans="1:13" x14ac:dyDescent="0.2">
      <c r="A503" s="35"/>
      <c r="B503" s="21"/>
      <c r="C503" s="18"/>
      <c r="D503" s="20"/>
      <c r="E503" s="20"/>
      <c r="F503" s="21"/>
      <c r="G503" s="21"/>
      <c r="H503" s="18"/>
      <c r="I503" s="30" t="str">
        <f t="shared" si="35"/>
        <v/>
      </c>
      <c r="J503" s="38" t="str">
        <f t="shared" si="36"/>
        <v/>
      </c>
      <c r="K503" s="30" t="str">
        <f t="shared" si="37"/>
        <v/>
      </c>
      <c r="L503" s="30" t="str">
        <f t="shared" si="38"/>
        <v/>
      </c>
      <c r="M503" s="30" t="str">
        <f t="shared" si="39"/>
        <v/>
      </c>
    </row>
    <row r="504" spans="1:13" x14ac:dyDescent="0.2">
      <c r="A504" s="35"/>
      <c r="B504" s="21"/>
      <c r="C504" s="18"/>
      <c r="D504" s="20"/>
      <c r="E504" s="20"/>
      <c r="F504" s="21"/>
      <c r="G504" s="21"/>
      <c r="H504" s="18"/>
      <c r="I504" s="30" t="str">
        <f t="shared" si="35"/>
        <v/>
      </c>
      <c r="J504" s="38" t="str">
        <f t="shared" si="36"/>
        <v/>
      </c>
      <c r="K504" s="30" t="str">
        <f t="shared" si="37"/>
        <v/>
      </c>
      <c r="L504" s="30" t="str">
        <f t="shared" si="38"/>
        <v/>
      </c>
      <c r="M504" s="30" t="str">
        <f t="shared" si="39"/>
        <v/>
      </c>
    </row>
    <row r="505" spans="1:13" x14ac:dyDescent="0.2">
      <c r="A505" s="35"/>
      <c r="B505" s="21"/>
      <c r="C505" s="18"/>
      <c r="D505" s="20"/>
      <c r="E505" s="20"/>
      <c r="F505" s="21"/>
      <c r="G505" s="21"/>
      <c r="H505" s="18"/>
      <c r="I505" s="30" t="str">
        <f t="shared" si="35"/>
        <v/>
      </c>
      <c r="J505" s="38" t="str">
        <f t="shared" si="36"/>
        <v/>
      </c>
      <c r="K505" s="30" t="str">
        <f t="shared" si="37"/>
        <v/>
      </c>
      <c r="L505" s="30" t="str">
        <f t="shared" si="38"/>
        <v/>
      </c>
      <c r="M505" s="30" t="str">
        <f t="shared" si="39"/>
        <v/>
      </c>
    </row>
    <row r="506" spans="1:13" x14ac:dyDescent="0.2">
      <c r="A506" s="35"/>
      <c r="B506" s="21"/>
      <c r="C506" s="18"/>
      <c r="D506" s="20"/>
      <c r="E506" s="20"/>
      <c r="F506" s="21"/>
      <c r="G506" s="21"/>
      <c r="H506" s="18"/>
      <c r="I506" s="30" t="str">
        <f t="shared" si="35"/>
        <v/>
      </c>
      <c r="J506" s="38" t="str">
        <f t="shared" si="36"/>
        <v/>
      </c>
      <c r="K506" s="30" t="str">
        <f t="shared" si="37"/>
        <v/>
      </c>
      <c r="L506" s="30" t="str">
        <f t="shared" si="38"/>
        <v/>
      </c>
      <c r="M506" s="30" t="str">
        <f t="shared" si="39"/>
        <v/>
      </c>
    </row>
    <row r="507" spans="1:13" x14ac:dyDescent="0.2">
      <c r="A507" s="35"/>
      <c r="B507" s="21"/>
      <c r="C507" s="18"/>
      <c r="D507" s="20"/>
      <c r="E507" s="20"/>
      <c r="F507" s="21"/>
      <c r="G507" s="21"/>
      <c r="H507" s="18"/>
      <c r="I507" s="30" t="str">
        <f t="shared" si="35"/>
        <v/>
      </c>
      <c r="J507" s="38" t="str">
        <f t="shared" si="36"/>
        <v/>
      </c>
      <c r="K507" s="30" t="str">
        <f t="shared" si="37"/>
        <v/>
      </c>
      <c r="L507" s="30" t="str">
        <f t="shared" si="38"/>
        <v/>
      </c>
      <c r="M507" s="30" t="str">
        <f t="shared" si="39"/>
        <v/>
      </c>
    </row>
    <row r="508" spans="1:13" x14ac:dyDescent="0.2">
      <c r="A508" s="35"/>
      <c r="B508" s="21"/>
      <c r="C508" s="18"/>
      <c r="D508" s="20"/>
      <c r="E508" s="20"/>
      <c r="F508" s="21"/>
      <c r="G508" s="21"/>
      <c r="H508" s="18"/>
      <c r="I508" s="30" t="str">
        <f t="shared" si="35"/>
        <v/>
      </c>
      <c r="J508" s="38" t="str">
        <f t="shared" si="36"/>
        <v/>
      </c>
      <c r="K508" s="30" t="str">
        <f t="shared" si="37"/>
        <v/>
      </c>
      <c r="L508" s="30" t="str">
        <f t="shared" si="38"/>
        <v/>
      </c>
      <c r="M508" s="30" t="str">
        <f t="shared" si="39"/>
        <v/>
      </c>
    </row>
    <row r="509" spans="1:13" x14ac:dyDescent="0.2">
      <c r="A509" s="35"/>
      <c r="B509" s="21"/>
      <c r="C509" s="18"/>
      <c r="D509" s="20"/>
      <c r="E509" s="20"/>
      <c r="F509" s="21"/>
      <c r="G509" s="21"/>
      <c r="H509" s="18"/>
      <c r="I509" s="30" t="str">
        <f t="shared" si="35"/>
        <v/>
      </c>
      <c r="J509" s="38" t="str">
        <f t="shared" si="36"/>
        <v/>
      </c>
      <c r="K509" s="30" t="str">
        <f t="shared" si="37"/>
        <v/>
      </c>
      <c r="L509" s="30" t="str">
        <f t="shared" si="38"/>
        <v/>
      </c>
      <c r="M509" s="30" t="str">
        <f t="shared" si="39"/>
        <v/>
      </c>
    </row>
    <row r="510" spans="1:13" x14ac:dyDescent="0.2">
      <c r="A510" s="35"/>
      <c r="B510" s="21"/>
      <c r="C510" s="18"/>
      <c r="D510" s="20"/>
      <c r="E510" s="20"/>
      <c r="F510" s="21"/>
      <c r="G510" s="21"/>
      <c r="H510" s="18"/>
      <c r="I510" s="30" t="str">
        <f t="shared" si="35"/>
        <v/>
      </c>
      <c r="J510" s="38" t="str">
        <f t="shared" si="36"/>
        <v/>
      </c>
      <c r="K510" s="30" t="str">
        <f t="shared" si="37"/>
        <v/>
      </c>
      <c r="L510" s="30" t="str">
        <f t="shared" si="38"/>
        <v/>
      </c>
      <c r="M510" s="30" t="str">
        <f t="shared" si="39"/>
        <v/>
      </c>
    </row>
    <row r="511" spans="1:13" x14ac:dyDescent="0.2">
      <c r="A511" s="35"/>
      <c r="B511" s="21"/>
      <c r="C511" s="18"/>
      <c r="D511" s="20"/>
      <c r="E511" s="20"/>
      <c r="F511" s="21"/>
      <c r="G511" s="21"/>
      <c r="H511" s="18"/>
      <c r="I511" s="30" t="str">
        <f t="shared" si="35"/>
        <v/>
      </c>
      <c r="J511" s="38" t="str">
        <f t="shared" si="36"/>
        <v/>
      </c>
      <c r="K511" s="30" t="str">
        <f t="shared" si="37"/>
        <v/>
      </c>
      <c r="L511" s="30" t="str">
        <f t="shared" si="38"/>
        <v/>
      </c>
      <c r="M511" s="30" t="str">
        <f t="shared" si="39"/>
        <v/>
      </c>
    </row>
    <row r="512" spans="1:13" x14ac:dyDescent="0.2">
      <c r="A512" s="35"/>
      <c r="B512" s="21"/>
      <c r="C512" s="18"/>
      <c r="D512" s="20"/>
      <c r="E512" s="20"/>
      <c r="F512" s="21"/>
      <c r="G512" s="21"/>
      <c r="H512" s="18"/>
      <c r="I512" s="30" t="str">
        <f t="shared" si="35"/>
        <v/>
      </c>
      <c r="J512" s="38" t="str">
        <f t="shared" si="36"/>
        <v/>
      </c>
      <c r="K512" s="30" t="str">
        <f t="shared" si="37"/>
        <v/>
      </c>
      <c r="L512" s="30" t="str">
        <f t="shared" si="38"/>
        <v/>
      </c>
      <c r="M512" s="30" t="str">
        <f t="shared" si="39"/>
        <v/>
      </c>
    </row>
    <row r="513" spans="1:13" x14ac:dyDescent="0.2">
      <c r="A513" s="35"/>
      <c r="B513" s="21"/>
      <c r="C513" s="18"/>
      <c r="D513" s="20"/>
      <c r="E513" s="20"/>
      <c r="F513" s="21"/>
      <c r="G513" s="21"/>
      <c r="H513" s="18"/>
      <c r="I513" s="30" t="str">
        <f t="shared" si="35"/>
        <v/>
      </c>
      <c r="J513" s="38" t="str">
        <f t="shared" si="36"/>
        <v/>
      </c>
      <c r="K513" s="30" t="str">
        <f t="shared" si="37"/>
        <v/>
      </c>
      <c r="L513" s="30" t="str">
        <f t="shared" si="38"/>
        <v/>
      </c>
      <c r="M513" s="30" t="str">
        <f t="shared" si="39"/>
        <v/>
      </c>
    </row>
    <row r="514" spans="1:13" x14ac:dyDescent="0.2">
      <c r="A514" s="35"/>
      <c r="B514" s="21"/>
      <c r="C514" s="18"/>
      <c r="D514" s="20"/>
      <c r="E514" s="20"/>
      <c r="F514" s="21"/>
      <c r="G514" s="21"/>
      <c r="H514" s="18"/>
      <c r="I514" s="30" t="str">
        <f t="shared" si="35"/>
        <v/>
      </c>
      <c r="J514" s="38" t="str">
        <f t="shared" si="36"/>
        <v/>
      </c>
      <c r="K514" s="30" t="str">
        <f t="shared" si="37"/>
        <v/>
      </c>
      <c r="L514" s="30" t="str">
        <f t="shared" si="38"/>
        <v/>
      </c>
      <c r="M514" s="30" t="str">
        <f t="shared" si="39"/>
        <v/>
      </c>
    </row>
    <row r="515" spans="1:13" x14ac:dyDescent="0.2">
      <c r="A515" s="35"/>
      <c r="B515" s="21"/>
      <c r="C515" s="18"/>
      <c r="D515" s="20"/>
      <c r="E515" s="20"/>
      <c r="F515" s="21"/>
      <c r="G515" s="21"/>
      <c r="H515" s="18"/>
      <c r="I515" s="30" t="str">
        <f t="shared" si="35"/>
        <v/>
      </c>
      <c r="J515" s="38" t="str">
        <f t="shared" si="36"/>
        <v/>
      </c>
      <c r="K515" s="30" t="str">
        <f t="shared" si="37"/>
        <v/>
      </c>
      <c r="L515" s="30" t="str">
        <f t="shared" si="38"/>
        <v/>
      </c>
      <c r="M515" s="30" t="str">
        <f t="shared" si="39"/>
        <v/>
      </c>
    </row>
    <row r="516" spans="1:13" x14ac:dyDescent="0.2">
      <c r="A516" s="35"/>
      <c r="B516" s="21"/>
      <c r="C516" s="18"/>
      <c r="D516" s="20"/>
      <c r="E516" s="20"/>
      <c r="F516" s="21"/>
      <c r="G516" s="21"/>
      <c r="H516" s="18"/>
      <c r="I516" s="30" t="str">
        <f t="shared" si="35"/>
        <v/>
      </c>
      <c r="J516" s="38" t="str">
        <f t="shared" si="36"/>
        <v/>
      </c>
      <c r="K516" s="30" t="str">
        <f t="shared" si="37"/>
        <v/>
      </c>
      <c r="L516" s="30" t="str">
        <f t="shared" si="38"/>
        <v/>
      </c>
      <c r="M516" s="30" t="str">
        <f t="shared" si="39"/>
        <v/>
      </c>
    </row>
    <row r="517" spans="1:13" x14ac:dyDescent="0.2">
      <c r="A517" s="35"/>
      <c r="B517" s="21"/>
      <c r="C517" s="18"/>
      <c r="D517" s="20"/>
      <c r="E517" s="20"/>
      <c r="F517" s="21"/>
      <c r="G517" s="21"/>
      <c r="H517" s="18"/>
      <c r="I517" s="30" t="str">
        <f t="shared" si="35"/>
        <v/>
      </c>
      <c r="J517" s="38" t="str">
        <f t="shared" si="36"/>
        <v/>
      </c>
      <c r="K517" s="30" t="str">
        <f t="shared" si="37"/>
        <v/>
      </c>
      <c r="L517" s="30" t="str">
        <f t="shared" si="38"/>
        <v/>
      </c>
      <c r="M517" s="30" t="str">
        <f t="shared" si="39"/>
        <v/>
      </c>
    </row>
    <row r="518" spans="1:13" x14ac:dyDescent="0.2">
      <c r="A518" s="35"/>
      <c r="B518" s="21"/>
      <c r="C518" s="18"/>
      <c r="D518" s="20"/>
      <c r="E518" s="20"/>
      <c r="F518" s="21"/>
      <c r="G518" s="21"/>
      <c r="H518" s="18"/>
      <c r="I518" s="30" t="str">
        <f t="shared" ref="I518:I581" si="40">IF(OR(D518="",E518=""),"",ROUND(MOD(E518-D518,1)*1440,0))</f>
        <v/>
      </c>
      <c r="J518" s="38" t="str">
        <f t="shared" ref="J518:J581" si="41">IF(F518="","",IFERROR(INDEX(LYDO_TEN,MATCH(F518,DS_LYDO,0)),"?"))</f>
        <v/>
      </c>
      <c r="K518" s="30" t="str">
        <f t="shared" ref="K518:K581" si="42">IF(F518="","",IFERROR(INDEX(LYDO_LOAI,MATCH(F518,DS_LYDO,0)),"?"))</f>
        <v/>
      </c>
      <c r="L518" s="30" t="str">
        <f t="shared" ref="L518:L581" si="43">IF(F518="","",IFERROR(INDEX(LYDO_BP,MATCH(F518,DS_LYDO,0)),"?"))</f>
        <v/>
      </c>
      <c r="M518" s="30" t="str">
        <f t="shared" ref="M518:M581" si="44">IF(I518="","",IF(MOD(I518,5)=0,1,0))</f>
        <v/>
      </c>
    </row>
    <row r="519" spans="1:13" x14ac:dyDescent="0.2">
      <c r="A519" s="35"/>
      <c r="B519" s="21"/>
      <c r="C519" s="18"/>
      <c r="D519" s="20"/>
      <c r="E519" s="20"/>
      <c r="F519" s="21"/>
      <c r="G519" s="21"/>
      <c r="H519" s="18"/>
      <c r="I519" s="30" t="str">
        <f t="shared" si="40"/>
        <v/>
      </c>
      <c r="J519" s="38" t="str">
        <f t="shared" si="41"/>
        <v/>
      </c>
      <c r="K519" s="30" t="str">
        <f t="shared" si="42"/>
        <v/>
      </c>
      <c r="L519" s="30" t="str">
        <f t="shared" si="43"/>
        <v/>
      </c>
      <c r="M519" s="30" t="str">
        <f t="shared" si="44"/>
        <v/>
      </c>
    </row>
    <row r="520" spans="1:13" x14ac:dyDescent="0.2">
      <c r="A520" s="35"/>
      <c r="B520" s="21"/>
      <c r="C520" s="18"/>
      <c r="D520" s="20"/>
      <c r="E520" s="20"/>
      <c r="F520" s="21"/>
      <c r="G520" s="21"/>
      <c r="H520" s="18"/>
      <c r="I520" s="30" t="str">
        <f t="shared" si="40"/>
        <v/>
      </c>
      <c r="J520" s="38" t="str">
        <f t="shared" si="41"/>
        <v/>
      </c>
      <c r="K520" s="30" t="str">
        <f t="shared" si="42"/>
        <v/>
      </c>
      <c r="L520" s="30" t="str">
        <f t="shared" si="43"/>
        <v/>
      </c>
      <c r="M520" s="30" t="str">
        <f t="shared" si="44"/>
        <v/>
      </c>
    </row>
    <row r="521" spans="1:13" x14ac:dyDescent="0.2">
      <c r="A521" s="35"/>
      <c r="B521" s="21"/>
      <c r="C521" s="18"/>
      <c r="D521" s="20"/>
      <c r="E521" s="20"/>
      <c r="F521" s="21"/>
      <c r="G521" s="21"/>
      <c r="H521" s="18"/>
      <c r="I521" s="30" t="str">
        <f t="shared" si="40"/>
        <v/>
      </c>
      <c r="J521" s="38" t="str">
        <f t="shared" si="41"/>
        <v/>
      </c>
      <c r="K521" s="30" t="str">
        <f t="shared" si="42"/>
        <v/>
      </c>
      <c r="L521" s="30" t="str">
        <f t="shared" si="43"/>
        <v/>
      </c>
      <c r="M521" s="30" t="str">
        <f t="shared" si="44"/>
        <v/>
      </c>
    </row>
    <row r="522" spans="1:13" x14ac:dyDescent="0.2">
      <c r="A522" s="35"/>
      <c r="B522" s="21"/>
      <c r="C522" s="18"/>
      <c r="D522" s="20"/>
      <c r="E522" s="20"/>
      <c r="F522" s="21"/>
      <c r="G522" s="21"/>
      <c r="H522" s="18"/>
      <c r="I522" s="30" t="str">
        <f t="shared" si="40"/>
        <v/>
      </c>
      <c r="J522" s="38" t="str">
        <f t="shared" si="41"/>
        <v/>
      </c>
      <c r="K522" s="30" t="str">
        <f t="shared" si="42"/>
        <v/>
      </c>
      <c r="L522" s="30" t="str">
        <f t="shared" si="43"/>
        <v/>
      </c>
      <c r="M522" s="30" t="str">
        <f t="shared" si="44"/>
        <v/>
      </c>
    </row>
    <row r="523" spans="1:13" x14ac:dyDescent="0.2">
      <c r="A523" s="35"/>
      <c r="B523" s="21"/>
      <c r="C523" s="18"/>
      <c r="D523" s="20"/>
      <c r="E523" s="20"/>
      <c r="F523" s="21"/>
      <c r="G523" s="21"/>
      <c r="H523" s="18"/>
      <c r="I523" s="30" t="str">
        <f t="shared" si="40"/>
        <v/>
      </c>
      <c r="J523" s="38" t="str">
        <f t="shared" si="41"/>
        <v/>
      </c>
      <c r="K523" s="30" t="str">
        <f t="shared" si="42"/>
        <v/>
      </c>
      <c r="L523" s="30" t="str">
        <f t="shared" si="43"/>
        <v/>
      </c>
      <c r="M523" s="30" t="str">
        <f t="shared" si="44"/>
        <v/>
      </c>
    </row>
    <row r="524" spans="1:13" x14ac:dyDescent="0.2">
      <c r="A524" s="35"/>
      <c r="B524" s="21"/>
      <c r="C524" s="18"/>
      <c r="D524" s="20"/>
      <c r="E524" s="20"/>
      <c r="F524" s="21"/>
      <c r="G524" s="21"/>
      <c r="H524" s="18"/>
      <c r="I524" s="30" t="str">
        <f t="shared" si="40"/>
        <v/>
      </c>
      <c r="J524" s="38" t="str">
        <f t="shared" si="41"/>
        <v/>
      </c>
      <c r="K524" s="30" t="str">
        <f t="shared" si="42"/>
        <v/>
      </c>
      <c r="L524" s="30" t="str">
        <f t="shared" si="43"/>
        <v/>
      </c>
      <c r="M524" s="30" t="str">
        <f t="shared" si="44"/>
        <v/>
      </c>
    </row>
    <row r="525" spans="1:13" x14ac:dyDescent="0.2">
      <c r="A525" s="35"/>
      <c r="B525" s="21"/>
      <c r="C525" s="18"/>
      <c r="D525" s="20"/>
      <c r="E525" s="20"/>
      <c r="F525" s="21"/>
      <c r="G525" s="21"/>
      <c r="H525" s="18"/>
      <c r="I525" s="30" t="str">
        <f t="shared" si="40"/>
        <v/>
      </c>
      <c r="J525" s="38" t="str">
        <f t="shared" si="41"/>
        <v/>
      </c>
      <c r="K525" s="30" t="str">
        <f t="shared" si="42"/>
        <v/>
      </c>
      <c r="L525" s="30" t="str">
        <f t="shared" si="43"/>
        <v/>
      </c>
      <c r="M525" s="30" t="str">
        <f t="shared" si="44"/>
        <v/>
      </c>
    </row>
    <row r="526" spans="1:13" x14ac:dyDescent="0.2">
      <c r="A526" s="35"/>
      <c r="B526" s="21"/>
      <c r="C526" s="18"/>
      <c r="D526" s="20"/>
      <c r="E526" s="20"/>
      <c r="F526" s="21"/>
      <c r="G526" s="21"/>
      <c r="H526" s="18"/>
      <c r="I526" s="30" t="str">
        <f t="shared" si="40"/>
        <v/>
      </c>
      <c r="J526" s="38" t="str">
        <f t="shared" si="41"/>
        <v/>
      </c>
      <c r="K526" s="30" t="str">
        <f t="shared" si="42"/>
        <v/>
      </c>
      <c r="L526" s="30" t="str">
        <f t="shared" si="43"/>
        <v/>
      </c>
      <c r="M526" s="30" t="str">
        <f t="shared" si="44"/>
        <v/>
      </c>
    </row>
    <row r="527" spans="1:13" x14ac:dyDescent="0.2">
      <c r="A527" s="35"/>
      <c r="B527" s="21"/>
      <c r="C527" s="18"/>
      <c r="D527" s="20"/>
      <c r="E527" s="20"/>
      <c r="F527" s="21"/>
      <c r="G527" s="21"/>
      <c r="H527" s="18"/>
      <c r="I527" s="30" t="str">
        <f t="shared" si="40"/>
        <v/>
      </c>
      <c r="J527" s="38" t="str">
        <f t="shared" si="41"/>
        <v/>
      </c>
      <c r="K527" s="30" t="str">
        <f t="shared" si="42"/>
        <v/>
      </c>
      <c r="L527" s="30" t="str">
        <f t="shared" si="43"/>
        <v/>
      </c>
      <c r="M527" s="30" t="str">
        <f t="shared" si="44"/>
        <v/>
      </c>
    </row>
    <row r="528" spans="1:13" x14ac:dyDescent="0.2">
      <c r="A528" s="35"/>
      <c r="B528" s="21"/>
      <c r="C528" s="18"/>
      <c r="D528" s="20"/>
      <c r="E528" s="20"/>
      <c r="F528" s="21"/>
      <c r="G528" s="21"/>
      <c r="H528" s="18"/>
      <c r="I528" s="30" t="str">
        <f t="shared" si="40"/>
        <v/>
      </c>
      <c r="J528" s="38" t="str">
        <f t="shared" si="41"/>
        <v/>
      </c>
      <c r="K528" s="30" t="str">
        <f t="shared" si="42"/>
        <v/>
      </c>
      <c r="L528" s="30" t="str">
        <f t="shared" si="43"/>
        <v/>
      </c>
      <c r="M528" s="30" t="str">
        <f t="shared" si="44"/>
        <v/>
      </c>
    </row>
    <row r="529" spans="1:13" x14ac:dyDescent="0.2">
      <c r="A529" s="35"/>
      <c r="B529" s="21"/>
      <c r="C529" s="18"/>
      <c r="D529" s="20"/>
      <c r="E529" s="20"/>
      <c r="F529" s="21"/>
      <c r="G529" s="21"/>
      <c r="H529" s="18"/>
      <c r="I529" s="30" t="str">
        <f t="shared" si="40"/>
        <v/>
      </c>
      <c r="J529" s="38" t="str">
        <f t="shared" si="41"/>
        <v/>
      </c>
      <c r="K529" s="30" t="str">
        <f t="shared" si="42"/>
        <v/>
      </c>
      <c r="L529" s="30" t="str">
        <f t="shared" si="43"/>
        <v/>
      </c>
      <c r="M529" s="30" t="str">
        <f t="shared" si="44"/>
        <v/>
      </c>
    </row>
    <row r="530" spans="1:13" x14ac:dyDescent="0.2">
      <c r="A530" s="35"/>
      <c r="B530" s="21"/>
      <c r="C530" s="18"/>
      <c r="D530" s="20"/>
      <c r="E530" s="20"/>
      <c r="F530" s="21"/>
      <c r="G530" s="21"/>
      <c r="H530" s="18"/>
      <c r="I530" s="30" t="str">
        <f t="shared" si="40"/>
        <v/>
      </c>
      <c r="J530" s="38" t="str">
        <f t="shared" si="41"/>
        <v/>
      </c>
      <c r="K530" s="30" t="str">
        <f t="shared" si="42"/>
        <v/>
      </c>
      <c r="L530" s="30" t="str">
        <f t="shared" si="43"/>
        <v/>
      </c>
      <c r="M530" s="30" t="str">
        <f t="shared" si="44"/>
        <v/>
      </c>
    </row>
    <row r="531" spans="1:13" x14ac:dyDescent="0.2">
      <c r="A531" s="35"/>
      <c r="B531" s="21"/>
      <c r="C531" s="18"/>
      <c r="D531" s="20"/>
      <c r="E531" s="20"/>
      <c r="F531" s="21"/>
      <c r="G531" s="21"/>
      <c r="H531" s="18"/>
      <c r="I531" s="30" t="str">
        <f t="shared" si="40"/>
        <v/>
      </c>
      <c r="J531" s="38" t="str">
        <f t="shared" si="41"/>
        <v/>
      </c>
      <c r="K531" s="30" t="str">
        <f t="shared" si="42"/>
        <v/>
      </c>
      <c r="L531" s="30" t="str">
        <f t="shared" si="43"/>
        <v/>
      </c>
      <c r="M531" s="30" t="str">
        <f t="shared" si="44"/>
        <v/>
      </c>
    </row>
    <row r="532" spans="1:13" x14ac:dyDescent="0.2">
      <c r="A532" s="35"/>
      <c r="B532" s="21"/>
      <c r="C532" s="18"/>
      <c r="D532" s="20"/>
      <c r="E532" s="20"/>
      <c r="F532" s="21"/>
      <c r="G532" s="21"/>
      <c r="H532" s="18"/>
      <c r="I532" s="30" t="str">
        <f t="shared" si="40"/>
        <v/>
      </c>
      <c r="J532" s="38" t="str">
        <f t="shared" si="41"/>
        <v/>
      </c>
      <c r="K532" s="30" t="str">
        <f t="shared" si="42"/>
        <v/>
      </c>
      <c r="L532" s="30" t="str">
        <f t="shared" si="43"/>
        <v/>
      </c>
      <c r="M532" s="30" t="str">
        <f t="shared" si="44"/>
        <v/>
      </c>
    </row>
    <row r="533" spans="1:13" x14ac:dyDescent="0.2">
      <c r="A533" s="35"/>
      <c r="B533" s="21"/>
      <c r="C533" s="18"/>
      <c r="D533" s="20"/>
      <c r="E533" s="20"/>
      <c r="F533" s="21"/>
      <c r="G533" s="21"/>
      <c r="H533" s="18"/>
      <c r="I533" s="30" t="str">
        <f t="shared" si="40"/>
        <v/>
      </c>
      <c r="J533" s="38" t="str">
        <f t="shared" si="41"/>
        <v/>
      </c>
      <c r="K533" s="30" t="str">
        <f t="shared" si="42"/>
        <v/>
      </c>
      <c r="L533" s="30" t="str">
        <f t="shared" si="43"/>
        <v/>
      </c>
      <c r="M533" s="30" t="str">
        <f t="shared" si="44"/>
        <v/>
      </c>
    </row>
    <row r="534" spans="1:13" x14ac:dyDescent="0.2">
      <c r="A534" s="35"/>
      <c r="B534" s="21"/>
      <c r="C534" s="18"/>
      <c r="D534" s="20"/>
      <c r="E534" s="20"/>
      <c r="F534" s="21"/>
      <c r="G534" s="21"/>
      <c r="H534" s="18"/>
      <c r="I534" s="30" t="str">
        <f t="shared" si="40"/>
        <v/>
      </c>
      <c r="J534" s="38" t="str">
        <f t="shared" si="41"/>
        <v/>
      </c>
      <c r="K534" s="30" t="str">
        <f t="shared" si="42"/>
        <v/>
      </c>
      <c r="L534" s="30" t="str">
        <f t="shared" si="43"/>
        <v/>
      </c>
      <c r="M534" s="30" t="str">
        <f t="shared" si="44"/>
        <v/>
      </c>
    </row>
    <row r="535" spans="1:13" x14ac:dyDescent="0.2">
      <c r="A535" s="35"/>
      <c r="B535" s="21"/>
      <c r="C535" s="18"/>
      <c r="D535" s="20"/>
      <c r="E535" s="20"/>
      <c r="F535" s="21"/>
      <c r="G535" s="21"/>
      <c r="H535" s="18"/>
      <c r="I535" s="30" t="str">
        <f t="shared" si="40"/>
        <v/>
      </c>
      <c r="J535" s="38" t="str">
        <f t="shared" si="41"/>
        <v/>
      </c>
      <c r="K535" s="30" t="str">
        <f t="shared" si="42"/>
        <v/>
      </c>
      <c r="L535" s="30" t="str">
        <f t="shared" si="43"/>
        <v/>
      </c>
      <c r="M535" s="30" t="str">
        <f t="shared" si="44"/>
        <v/>
      </c>
    </row>
    <row r="536" spans="1:13" x14ac:dyDescent="0.2">
      <c r="A536" s="35"/>
      <c r="B536" s="21"/>
      <c r="C536" s="18"/>
      <c r="D536" s="20"/>
      <c r="E536" s="20"/>
      <c r="F536" s="21"/>
      <c r="G536" s="21"/>
      <c r="H536" s="18"/>
      <c r="I536" s="30" t="str">
        <f t="shared" si="40"/>
        <v/>
      </c>
      <c r="J536" s="38" t="str">
        <f t="shared" si="41"/>
        <v/>
      </c>
      <c r="K536" s="30" t="str">
        <f t="shared" si="42"/>
        <v/>
      </c>
      <c r="L536" s="30" t="str">
        <f t="shared" si="43"/>
        <v/>
      </c>
      <c r="M536" s="30" t="str">
        <f t="shared" si="44"/>
        <v/>
      </c>
    </row>
    <row r="537" spans="1:13" x14ac:dyDescent="0.2">
      <c r="A537" s="35"/>
      <c r="B537" s="21"/>
      <c r="C537" s="18"/>
      <c r="D537" s="20"/>
      <c r="E537" s="20"/>
      <c r="F537" s="21"/>
      <c r="G537" s="21"/>
      <c r="H537" s="18"/>
      <c r="I537" s="30" t="str">
        <f t="shared" si="40"/>
        <v/>
      </c>
      <c r="J537" s="38" t="str">
        <f t="shared" si="41"/>
        <v/>
      </c>
      <c r="K537" s="30" t="str">
        <f t="shared" si="42"/>
        <v/>
      </c>
      <c r="L537" s="30" t="str">
        <f t="shared" si="43"/>
        <v/>
      </c>
      <c r="M537" s="30" t="str">
        <f t="shared" si="44"/>
        <v/>
      </c>
    </row>
    <row r="538" spans="1:13" x14ac:dyDescent="0.2">
      <c r="A538" s="35"/>
      <c r="B538" s="21"/>
      <c r="C538" s="18"/>
      <c r="D538" s="20"/>
      <c r="E538" s="20"/>
      <c r="F538" s="21"/>
      <c r="G538" s="21"/>
      <c r="H538" s="18"/>
      <c r="I538" s="30" t="str">
        <f t="shared" si="40"/>
        <v/>
      </c>
      <c r="J538" s="38" t="str">
        <f t="shared" si="41"/>
        <v/>
      </c>
      <c r="K538" s="30" t="str">
        <f t="shared" si="42"/>
        <v/>
      </c>
      <c r="L538" s="30" t="str">
        <f t="shared" si="43"/>
        <v/>
      </c>
      <c r="M538" s="30" t="str">
        <f t="shared" si="44"/>
        <v/>
      </c>
    </row>
    <row r="539" spans="1:13" x14ac:dyDescent="0.2">
      <c r="A539" s="35"/>
      <c r="B539" s="21"/>
      <c r="C539" s="18"/>
      <c r="D539" s="20"/>
      <c r="E539" s="20"/>
      <c r="F539" s="21"/>
      <c r="G539" s="21"/>
      <c r="H539" s="18"/>
      <c r="I539" s="30" t="str">
        <f t="shared" si="40"/>
        <v/>
      </c>
      <c r="J539" s="38" t="str">
        <f t="shared" si="41"/>
        <v/>
      </c>
      <c r="K539" s="30" t="str">
        <f t="shared" si="42"/>
        <v/>
      </c>
      <c r="L539" s="30" t="str">
        <f t="shared" si="43"/>
        <v/>
      </c>
      <c r="M539" s="30" t="str">
        <f t="shared" si="44"/>
        <v/>
      </c>
    </row>
    <row r="540" spans="1:13" x14ac:dyDescent="0.2">
      <c r="A540" s="35"/>
      <c r="B540" s="21"/>
      <c r="C540" s="18"/>
      <c r="D540" s="20"/>
      <c r="E540" s="20"/>
      <c r="F540" s="21"/>
      <c r="G540" s="21"/>
      <c r="H540" s="18"/>
      <c r="I540" s="30" t="str">
        <f t="shared" si="40"/>
        <v/>
      </c>
      <c r="J540" s="38" t="str">
        <f t="shared" si="41"/>
        <v/>
      </c>
      <c r="K540" s="30" t="str">
        <f t="shared" si="42"/>
        <v/>
      </c>
      <c r="L540" s="30" t="str">
        <f t="shared" si="43"/>
        <v/>
      </c>
      <c r="M540" s="30" t="str">
        <f t="shared" si="44"/>
        <v/>
      </c>
    </row>
    <row r="541" spans="1:13" x14ac:dyDescent="0.2">
      <c r="A541" s="35"/>
      <c r="B541" s="21"/>
      <c r="C541" s="18"/>
      <c r="D541" s="20"/>
      <c r="E541" s="20"/>
      <c r="F541" s="21"/>
      <c r="G541" s="21"/>
      <c r="H541" s="18"/>
      <c r="I541" s="30" t="str">
        <f t="shared" si="40"/>
        <v/>
      </c>
      <c r="J541" s="38" t="str">
        <f t="shared" si="41"/>
        <v/>
      </c>
      <c r="K541" s="30" t="str">
        <f t="shared" si="42"/>
        <v/>
      </c>
      <c r="L541" s="30" t="str">
        <f t="shared" si="43"/>
        <v/>
      </c>
      <c r="M541" s="30" t="str">
        <f t="shared" si="44"/>
        <v/>
      </c>
    </row>
    <row r="542" spans="1:13" x14ac:dyDescent="0.2">
      <c r="A542" s="35"/>
      <c r="B542" s="21"/>
      <c r="C542" s="18"/>
      <c r="D542" s="20"/>
      <c r="E542" s="20"/>
      <c r="F542" s="21"/>
      <c r="G542" s="21"/>
      <c r="H542" s="18"/>
      <c r="I542" s="30" t="str">
        <f t="shared" si="40"/>
        <v/>
      </c>
      <c r="J542" s="38" t="str">
        <f t="shared" si="41"/>
        <v/>
      </c>
      <c r="K542" s="30" t="str">
        <f t="shared" si="42"/>
        <v/>
      </c>
      <c r="L542" s="30" t="str">
        <f t="shared" si="43"/>
        <v/>
      </c>
      <c r="M542" s="30" t="str">
        <f t="shared" si="44"/>
        <v/>
      </c>
    </row>
    <row r="543" spans="1:13" x14ac:dyDescent="0.2">
      <c r="A543" s="35"/>
      <c r="B543" s="21"/>
      <c r="C543" s="18"/>
      <c r="D543" s="20"/>
      <c r="E543" s="20"/>
      <c r="F543" s="21"/>
      <c r="G543" s="21"/>
      <c r="H543" s="18"/>
      <c r="I543" s="30" t="str">
        <f t="shared" si="40"/>
        <v/>
      </c>
      <c r="J543" s="38" t="str">
        <f t="shared" si="41"/>
        <v/>
      </c>
      <c r="K543" s="30" t="str">
        <f t="shared" si="42"/>
        <v/>
      </c>
      <c r="L543" s="30" t="str">
        <f t="shared" si="43"/>
        <v/>
      </c>
      <c r="M543" s="30" t="str">
        <f t="shared" si="44"/>
        <v/>
      </c>
    </row>
    <row r="544" spans="1:13" x14ac:dyDescent="0.2">
      <c r="A544" s="35"/>
      <c r="B544" s="21"/>
      <c r="C544" s="18"/>
      <c r="D544" s="20"/>
      <c r="E544" s="20"/>
      <c r="F544" s="21"/>
      <c r="G544" s="21"/>
      <c r="H544" s="18"/>
      <c r="I544" s="30" t="str">
        <f t="shared" si="40"/>
        <v/>
      </c>
      <c r="J544" s="38" t="str">
        <f t="shared" si="41"/>
        <v/>
      </c>
      <c r="K544" s="30" t="str">
        <f t="shared" si="42"/>
        <v/>
      </c>
      <c r="L544" s="30" t="str">
        <f t="shared" si="43"/>
        <v/>
      </c>
      <c r="M544" s="30" t="str">
        <f t="shared" si="44"/>
        <v/>
      </c>
    </row>
    <row r="545" spans="1:13" x14ac:dyDescent="0.2">
      <c r="A545" s="35"/>
      <c r="B545" s="21"/>
      <c r="C545" s="18"/>
      <c r="D545" s="20"/>
      <c r="E545" s="20"/>
      <c r="F545" s="21"/>
      <c r="G545" s="21"/>
      <c r="H545" s="18"/>
      <c r="I545" s="30" t="str">
        <f t="shared" si="40"/>
        <v/>
      </c>
      <c r="J545" s="38" t="str">
        <f t="shared" si="41"/>
        <v/>
      </c>
      <c r="K545" s="30" t="str">
        <f t="shared" si="42"/>
        <v/>
      </c>
      <c r="L545" s="30" t="str">
        <f t="shared" si="43"/>
        <v/>
      </c>
      <c r="M545" s="30" t="str">
        <f t="shared" si="44"/>
        <v/>
      </c>
    </row>
    <row r="546" spans="1:13" x14ac:dyDescent="0.2">
      <c r="A546" s="35"/>
      <c r="B546" s="21"/>
      <c r="C546" s="18"/>
      <c r="D546" s="20"/>
      <c r="E546" s="20"/>
      <c r="F546" s="21"/>
      <c r="G546" s="21"/>
      <c r="H546" s="18"/>
      <c r="I546" s="30" t="str">
        <f t="shared" si="40"/>
        <v/>
      </c>
      <c r="J546" s="38" t="str">
        <f t="shared" si="41"/>
        <v/>
      </c>
      <c r="K546" s="30" t="str">
        <f t="shared" si="42"/>
        <v/>
      </c>
      <c r="L546" s="30" t="str">
        <f t="shared" si="43"/>
        <v/>
      </c>
      <c r="M546" s="30" t="str">
        <f t="shared" si="44"/>
        <v/>
      </c>
    </row>
    <row r="547" spans="1:13" x14ac:dyDescent="0.2">
      <c r="A547" s="35"/>
      <c r="B547" s="21"/>
      <c r="C547" s="18"/>
      <c r="D547" s="20"/>
      <c r="E547" s="20"/>
      <c r="F547" s="21"/>
      <c r="G547" s="21"/>
      <c r="H547" s="18"/>
      <c r="I547" s="30" t="str">
        <f t="shared" si="40"/>
        <v/>
      </c>
      <c r="J547" s="38" t="str">
        <f t="shared" si="41"/>
        <v/>
      </c>
      <c r="K547" s="30" t="str">
        <f t="shared" si="42"/>
        <v/>
      </c>
      <c r="L547" s="30" t="str">
        <f t="shared" si="43"/>
        <v/>
      </c>
      <c r="M547" s="30" t="str">
        <f t="shared" si="44"/>
        <v/>
      </c>
    </row>
    <row r="548" spans="1:13" x14ac:dyDescent="0.2">
      <c r="A548" s="35"/>
      <c r="B548" s="21"/>
      <c r="C548" s="18"/>
      <c r="D548" s="20"/>
      <c r="E548" s="20"/>
      <c r="F548" s="21"/>
      <c r="G548" s="21"/>
      <c r="H548" s="18"/>
      <c r="I548" s="30" t="str">
        <f t="shared" si="40"/>
        <v/>
      </c>
      <c r="J548" s="38" t="str">
        <f t="shared" si="41"/>
        <v/>
      </c>
      <c r="K548" s="30" t="str">
        <f t="shared" si="42"/>
        <v/>
      </c>
      <c r="L548" s="30" t="str">
        <f t="shared" si="43"/>
        <v/>
      </c>
      <c r="M548" s="30" t="str">
        <f t="shared" si="44"/>
        <v/>
      </c>
    </row>
    <row r="549" spans="1:13" x14ac:dyDescent="0.2">
      <c r="A549" s="35"/>
      <c r="B549" s="21"/>
      <c r="C549" s="18"/>
      <c r="D549" s="20"/>
      <c r="E549" s="20"/>
      <c r="F549" s="21"/>
      <c r="G549" s="21"/>
      <c r="H549" s="18"/>
      <c r="I549" s="30" t="str">
        <f t="shared" si="40"/>
        <v/>
      </c>
      <c r="J549" s="38" t="str">
        <f t="shared" si="41"/>
        <v/>
      </c>
      <c r="K549" s="30" t="str">
        <f t="shared" si="42"/>
        <v/>
      </c>
      <c r="L549" s="30" t="str">
        <f t="shared" si="43"/>
        <v/>
      </c>
      <c r="M549" s="30" t="str">
        <f t="shared" si="44"/>
        <v/>
      </c>
    </row>
    <row r="550" spans="1:13" x14ac:dyDescent="0.2">
      <c r="A550" s="35"/>
      <c r="B550" s="21"/>
      <c r="C550" s="18"/>
      <c r="D550" s="20"/>
      <c r="E550" s="20"/>
      <c r="F550" s="21"/>
      <c r="G550" s="21"/>
      <c r="H550" s="18"/>
      <c r="I550" s="30" t="str">
        <f t="shared" si="40"/>
        <v/>
      </c>
      <c r="J550" s="38" t="str">
        <f t="shared" si="41"/>
        <v/>
      </c>
      <c r="K550" s="30" t="str">
        <f t="shared" si="42"/>
        <v/>
      </c>
      <c r="L550" s="30" t="str">
        <f t="shared" si="43"/>
        <v/>
      </c>
      <c r="M550" s="30" t="str">
        <f t="shared" si="44"/>
        <v/>
      </c>
    </row>
    <row r="551" spans="1:13" x14ac:dyDescent="0.2">
      <c r="A551" s="35"/>
      <c r="B551" s="21"/>
      <c r="C551" s="18"/>
      <c r="D551" s="20"/>
      <c r="E551" s="20"/>
      <c r="F551" s="21"/>
      <c r="G551" s="21"/>
      <c r="H551" s="18"/>
      <c r="I551" s="30" t="str">
        <f t="shared" si="40"/>
        <v/>
      </c>
      <c r="J551" s="38" t="str">
        <f t="shared" si="41"/>
        <v/>
      </c>
      <c r="K551" s="30" t="str">
        <f t="shared" si="42"/>
        <v/>
      </c>
      <c r="L551" s="30" t="str">
        <f t="shared" si="43"/>
        <v/>
      </c>
      <c r="M551" s="30" t="str">
        <f t="shared" si="44"/>
        <v/>
      </c>
    </row>
    <row r="552" spans="1:13" x14ac:dyDescent="0.2">
      <c r="A552" s="35"/>
      <c r="B552" s="21"/>
      <c r="C552" s="18"/>
      <c r="D552" s="20"/>
      <c r="E552" s="20"/>
      <c r="F552" s="21"/>
      <c r="G552" s="21"/>
      <c r="H552" s="18"/>
      <c r="I552" s="30" t="str">
        <f t="shared" si="40"/>
        <v/>
      </c>
      <c r="J552" s="38" t="str">
        <f t="shared" si="41"/>
        <v/>
      </c>
      <c r="K552" s="30" t="str">
        <f t="shared" si="42"/>
        <v/>
      </c>
      <c r="L552" s="30" t="str">
        <f t="shared" si="43"/>
        <v/>
      </c>
      <c r="M552" s="30" t="str">
        <f t="shared" si="44"/>
        <v/>
      </c>
    </row>
    <row r="553" spans="1:13" x14ac:dyDescent="0.2">
      <c r="A553" s="35"/>
      <c r="B553" s="21"/>
      <c r="C553" s="18"/>
      <c r="D553" s="20"/>
      <c r="E553" s="20"/>
      <c r="F553" s="21"/>
      <c r="G553" s="21"/>
      <c r="H553" s="18"/>
      <c r="I553" s="30" t="str">
        <f t="shared" si="40"/>
        <v/>
      </c>
      <c r="J553" s="38" t="str">
        <f t="shared" si="41"/>
        <v/>
      </c>
      <c r="K553" s="30" t="str">
        <f t="shared" si="42"/>
        <v/>
      </c>
      <c r="L553" s="30" t="str">
        <f t="shared" si="43"/>
        <v/>
      </c>
      <c r="M553" s="30" t="str">
        <f t="shared" si="44"/>
        <v/>
      </c>
    </row>
    <row r="554" spans="1:13" x14ac:dyDescent="0.2">
      <c r="A554" s="35"/>
      <c r="B554" s="21"/>
      <c r="C554" s="18"/>
      <c r="D554" s="20"/>
      <c r="E554" s="20"/>
      <c r="F554" s="21"/>
      <c r="G554" s="21"/>
      <c r="H554" s="18"/>
      <c r="I554" s="30" t="str">
        <f t="shared" si="40"/>
        <v/>
      </c>
      <c r="J554" s="38" t="str">
        <f t="shared" si="41"/>
        <v/>
      </c>
      <c r="K554" s="30" t="str">
        <f t="shared" si="42"/>
        <v/>
      </c>
      <c r="L554" s="30" t="str">
        <f t="shared" si="43"/>
        <v/>
      </c>
      <c r="M554" s="30" t="str">
        <f t="shared" si="44"/>
        <v/>
      </c>
    </row>
    <row r="555" spans="1:13" x14ac:dyDescent="0.2">
      <c r="A555" s="35"/>
      <c r="B555" s="21"/>
      <c r="C555" s="18"/>
      <c r="D555" s="20"/>
      <c r="E555" s="20"/>
      <c r="F555" s="21"/>
      <c r="G555" s="21"/>
      <c r="H555" s="18"/>
      <c r="I555" s="30" t="str">
        <f t="shared" si="40"/>
        <v/>
      </c>
      <c r="J555" s="38" t="str">
        <f t="shared" si="41"/>
        <v/>
      </c>
      <c r="K555" s="30" t="str">
        <f t="shared" si="42"/>
        <v/>
      </c>
      <c r="L555" s="30" t="str">
        <f t="shared" si="43"/>
        <v/>
      </c>
      <c r="M555" s="30" t="str">
        <f t="shared" si="44"/>
        <v/>
      </c>
    </row>
    <row r="556" spans="1:13" x14ac:dyDescent="0.2">
      <c r="A556" s="35"/>
      <c r="B556" s="21"/>
      <c r="C556" s="18"/>
      <c r="D556" s="20"/>
      <c r="E556" s="20"/>
      <c r="F556" s="21"/>
      <c r="G556" s="21"/>
      <c r="H556" s="18"/>
      <c r="I556" s="30" t="str">
        <f t="shared" si="40"/>
        <v/>
      </c>
      <c r="J556" s="38" t="str">
        <f t="shared" si="41"/>
        <v/>
      </c>
      <c r="K556" s="30" t="str">
        <f t="shared" si="42"/>
        <v/>
      </c>
      <c r="L556" s="30" t="str">
        <f t="shared" si="43"/>
        <v/>
      </c>
      <c r="M556" s="30" t="str">
        <f t="shared" si="44"/>
        <v/>
      </c>
    </row>
    <row r="557" spans="1:13" x14ac:dyDescent="0.2">
      <c r="A557" s="35"/>
      <c r="B557" s="21"/>
      <c r="C557" s="18"/>
      <c r="D557" s="20"/>
      <c r="E557" s="20"/>
      <c r="F557" s="21"/>
      <c r="G557" s="21"/>
      <c r="H557" s="18"/>
      <c r="I557" s="30" t="str">
        <f t="shared" si="40"/>
        <v/>
      </c>
      <c r="J557" s="38" t="str">
        <f t="shared" si="41"/>
        <v/>
      </c>
      <c r="K557" s="30" t="str">
        <f t="shared" si="42"/>
        <v/>
      </c>
      <c r="L557" s="30" t="str">
        <f t="shared" si="43"/>
        <v/>
      </c>
      <c r="M557" s="30" t="str">
        <f t="shared" si="44"/>
        <v/>
      </c>
    </row>
    <row r="558" spans="1:13" x14ac:dyDescent="0.2">
      <c r="A558" s="35"/>
      <c r="B558" s="21"/>
      <c r="C558" s="18"/>
      <c r="D558" s="20"/>
      <c r="E558" s="20"/>
      <c r="F558" s="21"/>
      <c r="G558" s="21"/>
      <c r="H558" s="18"/>
      <c r="I558" s="30" t="str">
        <f t="shared" si="40"/>
        <v/>
      </c>
      <c r="J558" s="38" t="str">
        <f t="shared" si="41"/>
        <v/>
      </c>
      <c r="K558" s="30" t="str">
        <f t="shared" si="42"/>
        <v/>
      </c>
      <c r="L558" s="30" t="str">
        <f t="shared" si="43"/>
        <v/>
      </c>
      <c r="M558" s="30" t="str">
        <f t="shared" si="44"/>
        <v/>
      </c>
    </row>
    <row r="559" spans="1:13" x14ac:dyDescent="0.2">
      <c r="A559" s="35"/>
      <c r="B559" s="21"/>
      <c r="C559" s="18"/>
      <c r="D559" s="20"/>
      <c r="E559" s="20"/>
      <c r="F559" s="21"/>
      <c r="G559" s="21"/>
      <c r="H559" s="18"/>
      <c r="I559" s="30" t="str">
        <f t="shared" si="40"/>
        <v/>
      </c>
      <c r="J559" s="38" t="str">
        <f t="shared" si="41"/>
        <v/>
      </c>
      <c r="K559" s="30" t="str">
        <f t="shared" si="42"/>
        <v/>
      </c>
      <c r="L559" s="30" t="str">
        <f t="shared" si="43"/>
        <v/>
      </c>
      <c r="M559" s="30" t="str">
        <f t="shared" si="44"/>
        <v/>
      </c>
    </row>
    <row r="560" spans="1:13" x14ac:dyDescent="0.2">
      <c r="A560" s="35"/>
      <c r="B560" s="21"/>
      <c r="C560" s="18"/>
      <c r="D560" s="20"/>
      <c r="E560" s="20"/>
      <c r="F560" s="21"/>
      <c r="G560" s="21"/>
      <c r="H560" s="18"/>
      <c r="I560" s="30" t="str">
        <f t="shared" si="40"/>
        <v/>
      </c>
      <c r="J560" s="38" t="str">
        <f t="shared" si="41"/>
        <v/>
      </c>
      <c r="K560" s="30" t="str">
        <f t="shared" si="42"/>
        <v/>
      </c>
      <c r="L560" s="30" t="str">
        <f t="shared" si="43"/>
        <v/>
      </c>
      <c r="M560" s="30" t="str">
        <f t="shared" si="44"/>
        <v/>
      </c>
    </row>
    <row r="561" spans="1:13" x14ac:dyDescent="0.2">
      <c r="A561" s="35"/>
      <c r="B561" s="21"/>
      <c r="C561" s="18"/>
      <c r="D561" s="20"/>
      <c r="E561" s="20"/>
      <c r="F561" s="21"/>
      <c r="G561" s="21"/>
      <c r="H561" s="18"/>
      <c r="I561" s="30" t="str">
        <f t="shared" si="40"/>
        <v/>
      </c>
      <c r="J561" s="38" t="str">
        <f t="shared" si="41"/>
        <v/>
      </c>
      <c r="K561" s="30" t="str">
        <f t="shared" si="42"/>
        <v/>
      </c>
      <c r="L561" s="30" t="str">
        <f t="shared" si="43"/>
        <v/>
      </c>
      <c r="M561" s="30" t="str">
        <f t="shared" si="44"/>
        <v/>
      </c>
    </row>
    <row r="562" spans="1:13" x14ac:dyDescent="0.2">
      <c r="A562" s="35"/>
      <c r="B562" s="21"/>
      <c r="C562" s="18"/>
      <c r="D562" s="20"/>
      <c r="E562" s="20"/>
      <c r="F562" s="21"/>
      <c r="G562" s="21"/>
      <c r="H562" s="18"/>
      <c r="I562" s="30" t="str">
        <f t="shared" si="40"/>
        <v/>
      </c>
      <c r="J562" s="38" t="str">
        <f t="shared" si="41"/>
        <v/>
      </c>
      <c r="K562" s="30" t="str">
        <f t="shared" si="42"/>
        <v/>
      </c>
      <c r="L562" s="30" t="str">
        <f t="shared" si="43"/>
        <v/>
      </c>
      <c r="M562" s="30" t="str">
        <f t="shared" si="44"/>
        <v/>
      </c>
    </row>
    <row r="563" spans="1:13" x14ac:dyDescent="0.2">
      <c r="A563" s="35"/>
      <c r="B563" s="21"/>
      <c r="C563" s="18"/>
      <c r="D563" s="20"/>
      <c r="E563" s="20"/>
      <c r="F563" s="21"/>
      <c r="G563" s="21"/>
      <c r="H563" s="18"/>
      <c r="I563" s="30" t="str">
        <f t="shared" si="40"/>
        <v/>
      </c>
      <c r="J563" s="38" t="str">
        <f t="shared" si="41"/>
        <v/>
      </c>
      <c r="K563" s="30" t="str">
        <f t="shared" si="42"/>
        <v/>
      </c>
      <c r="L563" s="30" t="str">
        <f t="shared" si="43"/>
        <v/>
      </c>
      <c r="M563" s="30" t="str">
        <f t="shared" si="44"/>
        <v/>
      </c>
    </row>
    <row r="564" spans="1:13" x14ac:dyDescent="0.2">
      <c r="A564" s="35"/>
      <c r="B564" s="21"/>
      <c r="C564" s="18"/>
      <c r="D564" s="20"/>
      <c r="E564" s="20"/>
      <c r="F564" s="21"/>
      <c r="G564" s="21"/>
      <c r="H564" s="18"/>
      <c r="I564" s="30" t="str">
        <f t="shared" si="40"/>
        <v/>
      </c>
      <c r="J564" s="38" t="str">
        <f t="shared" si="41"/>
        <v/>
      </c>
      <c r="K564" s="30" t="str">
        <f t="shared" si="42"/>
        <v/>
      </c>
      <c r="L564" s="30" t="str">
        <f t="shared" si="43"/>
        <v/>
      </c>
      <c r="M564" s="30" t="str">
        <f t="shared" si="44"/>
        <v/>
      </c>
    </row>
    <row r="565" spans="1:13" x14ac:dyDescent="0.2">
      <c r="A565" s="35"/>
      <c r="B565" s="21"/>
      <c r="C565" s="18"/>
      <c r="D565" s="20"/>
      <c r="E565" s="20"/>
      <c r="F565" s="21"/>
      <c r="G565" s="21"/>
      <c r="H565" s="18"/>
      <c r="I565" s="30" t="str">
        <f t="shared" si="40"/>
        <v/>
      </c>
      <c r="J565" s="38" t="str">
        <f t="shared" si="41"/>
        <v/>
      </c>
      <c r="K565" s="30" t="str">
        <f t="shared" si="42"/>
        <v/>
      </c>
      <c r="L565" s="30" t="str">
        <f t="shared" si="43"/>
        <v/>
      </c>
      <c r="M565" s="30" t="str">
        <f t="shared" si="44"/>
        <v/>
      </c>
    </row>
    <row r="566" spans="1:13" x14ac:dyDescent="0.2">
      <c r="A566" s="35"/>
      <c r="B566" s="21"/>
      <c r="C566" s="18"/>
      <c r="D566" s="20"/>
      <c r="E566" s="20"/>
      <c r="F566" s="21"/>
      <c r="G566" s="21"/>
      <c r="H566" s="18"/>
      <c r="I566" s="30" t="str">
        <f t="shared" si="40"/>
        <v/>
      </c>
      <c r="J566" s="38" t="str">
        <f t="shared" si="41"/>
        <v/>
      </c>
      <c r="K566" s="30" t="str">
        <f t="shared" si="42"/>
        <v/>
      </c>
      <c r="L566" s="30" t="str">
        <f t="shared" si="43"/>
        <v/>
      </c>
      <c r="M566" s="30" t="str">
        <f t="shared" si="44"/>
        <v/>
      </c>
    </row>
    <row r="567" spans="1:13" x14ac:dyDescent="0.2">
      <c r="A567" s="35"/>
      <c r="B567" s="21"/>
      <c r="C567" s="18"/>
      <c r="D567" s="20"/>
      <c r="E567" s="20"/>
      <c r="F567" s="21"/>
      <c r="G567" s="21"/>
      <c r="H567" s="18"/>
      <c r="I567" s="30" t="str">
        <f t="shared" si="40"/>
        <v/>
      </c>
      <c r="J567" s="38" t="str">
        <f t="shared" si="41"/>
        <v/>
      </c>
      <c r="K567" s="30" t="str">
        <f t="shared" si="42"/>
        <v/>
      </c>
      <c r="L567" s="30" t="str">
        <f t="shared" si="43"/>
        <v/>
      </c>
      <c r="M567" s="30" t="str">
        <f t="shared" si="44"/>
        <v/>
      </c>
    </row>
    <row r="568" spans="1:13" x14ac:dyDescent="0.2">
      <c r="A568" s="35"/>
      <c r="B568" s="21"/>
      <c r="C568" s="18"/>
      <c r="D568" s="20"/>
      <c r="E568" s="20"/>
      <c r="F568" s="21"/>
      <c r="G568" s="21"/>
      <c r="H568" s="18"/>
      <c r="I568" s="30" t="str">
        <f t="shared" si="40"/>
        <v/>
      </c>
      <c r="J568" s="38" t="str">
        <f t="shared" si="41"/>
        <v/>
      </c>
      <c r="K568" s="30" t="str">
        <f t="shared" si="42"/>
        <v/>
      </c>
      <c r="L568" s="30" t="str">
        <f t="shared" si="43"/>
        <v/>
      </c>
      <c r="M568" s="30" t="str">
        <f t="shared" si="44"/>
        <v/>
      </c>
    </row>
    <row r="569" spans="1:13" x14ac:dyDescent="0.2">
      <c r="A569" s="35"/>
      <c r="B569" s="21"/>
      <c r="C569" s="18"/>
      <c r="D569" s="20"/>
      <c r="E569" s="20"/>
      <c r="F569" s="21"/>
      <c r="G569" s="21"/>
      <c r="H569" s="18"/>
      <c r="I569" s="30" t="str">
        <f t="shared" si="40"/>
        <v/>
      </c>
      <c r="J569" s="38" t="str">
        <f t="shared" si="41"/>
        <v/>
      </c>
      <c r="K569" s="30" t="str">
        <f t="shared" si="42"/>
        <v/>
      </c>
      <c r="L569" s="30" t="str">
        <f t="shared" si="43"/>
        <v/>
      </c>
      <c r="M569" s="30" t="str">
        <f t="shared" si="44"/>
        <v/>
      </c>
    </row>
    <row r="570" spans="1:13" x14ac:dyDescent="0.2">
      <c r="A570" s="35"/>
      <c r="B570" s="21"/>
      <c r="C570" s="18"/>
      <c r="D570" s="20"/>
      <c r="E570" s="20"/>
      <c r="F570" s="21"/>
      <c r="G570" s="21"/>
      <c r="H570" s="18"/>
      <c r="I570" s="30" t="str">
        <f t="shared" si="40"/>
        <v/>
      </c>
      <c r="J570" s="38" t="str">
        <f t="shared" si="41"/>
        <v/>
      </c>
      <c r="K570" s="30" t="str">
        <f t="shared" si="42"/>
        <v/>
      </c>
      <c r="L570" s="30" t="str">
        <f t="shared" si="43"/>
        <v/>
      </c>
      <c r="M570" s="30" t="str">
        <f t="shared" si="44"/>
        <v/>
      </c>
    </row>
    <row r="571" spans="1:13" x14ac:dyDescent="0.2">
      <c r="A571" s="35"/>
      <c r="B571" s="21"/>
      <c r="C571" s="18"/>
      <c r="D571" s="20"/>
      <c r="E571" s="20"/>
      <c r="F571" s="21"/>
      <c r="G571" s="21"/>
      <c r="H571" s="18"/>
      <c r="I571" s="30" t="str">
        <f t="shared" si="40"/>
        <v/>
      </c>
      <c r="J571" s="38" t="str">
        <f t="shared" si="41"/>
        <v/>
      </c>
      <c r="K571" s="30" t="str">
        <f t="shared" si="42"/>
        <v/>
      </c>
      <c r="L571" s="30" t="str">
        <f t="shared" si="43"/>
        <v/>
      </c>
      <c r="M571" s="30" t="str">
        <f t="shared" si="44"/>
        <v/>
      </c>
    </row>
    <row r="572" spans="1:13" x14ac:dyDescent="0.2">
      <c r="A572" s="35"/>
      <c r="B572" s="21"/>
      <c r="C572" s="18"/>
      <c r="D572" s="20"/>
      <c r="E572" s="20"/>
      <c r="F572" s="21"/>
      <c r="G572" s="21"/>
      <c r="H572" s="18"/>
      <c r="I572" s="30" t="str">
        <f t="shared" si="40"/>
        <v/>
      </c>
      <c r="J572" s="38" t="str">
        <f t="shared" si="41"/>
        <v/>
      </c>
      <c r="K572" s="30" t="str">
        <f t="shared" si="42"/>
        <v/>
      </c>
      <c r="L572" s="30" t="str">
        <f t="shared" si="43"/>
        <v/>
      </c>
      <c r="M572" s="30" t="str">
        <f t="shared" si="44"/>
        <v/>
      </c>
    </row>
    <row r="573" spans="1:13" x14ac:dyDescent="0.2">
      <c r="A573" s="35"/>
      <c r="B573" s="21"/>
      <c r="C573" s="18"/>
      <c r="D573" s="20"/>
      <c r="E573" s="20"/>
      <c r="F573" s="21"/>
      <c r="G573" s="21"/>
      <c r="H573" s="18"/>
      <c r="I573" s="30" t="str">
        <f t="shared" si="40"/>
        <v/>
      </c>
      <c r="J573" s="38" t="str">
        <f t="shared" si="41"/>
        <v/>
      </c>
      <c r="K573" s="30" t="str">
        <f t="shared" si="42"/>
        <v/>
      </c>
      <c r="L573" s="30" t="str">
        <f t="shared" si="43"/>
        <v/>
      </c>
      <c r="M573" s="30" t="str">
        <f t="shared" si="44"/>
        <v/>
      </c>
    </row>
    <row r="574" spans="1:13" x14ac:dyDescent="0.2">
      <c r="A574" s="35"/>
      <c r="B574" s="21"/>
      <c r="C574" s="18"/>
      <c r="D574" s="20"/>
      <c r="E574" s="20"/>
      <c r="F574" s="21"/>
      <c r="G574" s="21"/>
      <c r="H574" s="18"/>
      <c r="I574" s="30" t="str">
        <f t="shared" si="40"/>
        <v/>
      </c>
      <c r="J574" s="38" t="str">
        <f t="shared" si="41"/>
        <v/>
      </c>
      <c r="K574" s="30" t="str">
        <f t="shared" si="42"/>
        <v/>
      </c>
      <c r="L574" s="30" t="str">
        <f t="shared" si="43"/>
        <v/>
      </c>
      <c r="M574" s="30" t="str">
        <f t="shared" si="44"/>
        <v/>
      </c>
    </row>
    <row r="575" spans="1:13" x14ac:dyDescent="0.2">
      <c r="A575" s="35"/>
      <c r="B575" s="21"/>
      <c r="C575" s="18"/>
      <c r="D575" s="20"/>
      <c r="E575" s="20"/>
      <c r="F575" s="21"/>
      <c r="G575" s="21"/>
      <c r="H575" s="18"/>
      <c r="I575" s="30" t="str">
        <f t="shared" si="40"/>
        <v/>
      </c>
      <c r="J575" s="38" t="str">
        <f t="shared" si="41"/>
        <v/>
      </c>
      <c r="K575" s="30" t="str">
        <f t="shared" si="42"/>
        <v/>
      </c>
      <c r="L575" s="30" t="str">
        <f t="shared" si="43"/>
        <v/>
      </c>
      <c r="M575" s="30" t="str">
        <f t="shared" si="44"/>
        <v/>
      </c>
    </row>
    <row r="576" spans="1:13" x14ac:dyDescent="0.2">
      <c r="A576" s="35"/>
      <c r="B576" s="21"/>
      <c r="C576" s="18"/>
      <c r="D576" s="20"/>
      <c r="E576" s="20"/>
      <c r="F576" s="21"/>
      <c r="G576" s="21"/>
      <c r="H576" s="18"/>
      <c r="I576" s="30" t="str">
        <f t="shared" si="40"/>
        <v/>
      </c>
      <c r="J576" s="38" t="str">
        <f t="shared" si="41"/>
        <v/>
      </c>
      <c r="K576" s="30" t="str">
        <f t="shared" si="42"/>
        <v/>
      </c>
      <c r="L576" s="30" t="str">
        <f t="shared" si="43"/>
        <v/>
      </c>
      <c r="M576" s="30" t="str">
        <f t="shared" si="44"/>
        <v/>
      </c>
    </row>
    <row r="577" spans="1:13" x14ac:dyDescent="0.2">
      <c r="A577" s="35"/>
      <c r="B577" s="21"/>
      <c r="C577" s="18"/>
      <c r="D577" s="20"/>
      <c r="E577" s="20"/>
      <c r="F577" s="21"/>
      <c r="G577" s="21"/>
      <c r="H577" s="18"/>
      <c r="I577" s="30" t="str">
        <f t="shared" si="40"/>
        <v/>
      </c>
      <c r="J577" s="38" t="str">
        <f t="shared" si="41"/>
        <v/>
      </c>
      <c r="K577" s="30" t="str">
        <f t="shared" si="42"/>
        <v/>
      </c>
      <c r="L577" s="30" t="str">
        <f t="shared" si="43"/>
        <v/>
      </c>
      <c r="M577" s="30" t="str">
        <f t="shared" si="44"/>
        <v/>
      </c>
    </row>
    <row r="578" spans="1:13" x14ac:dyDescent="0.2">
      <c r="A578" s="35"/>
      <c r="B578" s="21"/>
      <c r="C578" s="18"/>
      <c r="D578" s="20"/>
      <c r="E578" s="20"/>
      <c r="F578" s="21"/>
      <c r="G578" s="21"/>
      <c r="H578" s="18"/>
      <c r="I578" s="30" t="str">
        <f t="shared" si="40"/>
        <v/>
      </c>
      <c r="J578" s="38" t="str">
        <f t="shared" si="41"/>
        <v/>
      </c>
      <c r="K578" s="30" t="str">
        <f t="shared" si="42"/>
        <v/>
      </c>
      <c r="L578" s="30" t="str">
        <f t="shared" si="43"/>
        <v/>
      </c>
      <c r="M578" s="30" t="str">
        <f t="shared" si="44"/>
        <v/>
      </c>
    </row>
    <row r="579" spans="1:13" x14ac:dyDescent="0.2">
      <c r="A579" s="35"/>
      <c r="B579" s="21"/>
      <c r="C579" s="18"/>
      <c r="D579" s="20"/>
      <c r="E579" s="20"/>
      <c r="F579" s="21"/>
      <c r="G579" s="21"/>
      <c r="H579" s="18"/>
      <c r="I579" s="30" t="str">
        <f t="shared" si="40"/>
        <v/>
      </c>
      <c r="J579" s="38" t="str">
        <f t="shared" si="41"/>
        <v/>
      </c>
      <c r="K579" s="30" t="str">
        <f t="shared" si="42"/>
        <v/>
      </c>
      <c r="L579" s="30" t="str">
        <f t="shared" si="43"/>
        <v/>
      </c>
      <c r="M579" s="30" t="str">
        <f t="shared" si="44"/>
        <v/>
      </c>
    </row>
    <row r="580" spans="1:13" x14ac:dyDescent="0.2">
      <c r="A580" s="35"/>
      <c r="B580" s="21"/>
      <c r="C580" s="18"/>
      <c r="D580" s="20"/>
      <c r="E580" s="20"/>
      <c r="F580" s="21"/>
      <c r="G580" s="21"/>
      <c r="H580" s="18"/>
      <c r="I580" s="30" t="str">
        <f t="shared" si="40"/>
        <v/>
      </c>
      <c r="J580" s="38" t="str">
        <f t="shared" si="41"/>
        <v/>
      </c>
      <c r="K580" s="30" t="str">
        <f t="shared" si="42"/>
        <v/>
      </c>
      <c r="L580" s="30" t="str">
        <f t="shared" si="43"/>
        <v/>
      </c>
      <c r="M580" s="30" t="str">
        <f t="shared" si="44"/>
        <v/>
      </c>
    </row>
    <row r="581" spans="1:13" x14ac:dyDescent="0.2">
      <c r="A581" s="35"/>
      <c r="B581" s="21"/>
      <c r="C581" s="18"/>
      <c r="D581" s="20"/>
      <c r="E581" s="20"/>
      <c r="F581" s="21"/>
      <c r="G581" s="21"/>
      <c r="H581" s="18"/>
      <c r="I581" s="30" t="str">
        <f t="shared" si="40"/>
        <v/>
      </c>
      <c r="J581" s="38" t="str">
        <f t="shared" si="41"/>
        <v/>
      </c>
      <c r="K581" s="30" t="str">
        <f t="shared" si="42"/>
        <v/>
      </c>
      <c r="L581" s="30" t="str">
        <f t="shared" si="43"/>
        <v/>
      </c>
      <c r="M581" s="30" t="str">
        <f t="shared" si="44"/>
        <v/>
      </c>
    </row>
    <row r="582" spans="1:13" x14ac:dyDescent="0.2">
      <c r="A582" s="35"/>
      <c r="B582" s="21"/>
      <c r="C582" s="18"/>
      <c r="D582" s="20"/>
      <c r="E582" s="20"/>
      <c r="F582" s="21"/>
      <c r="G582" s="21"/>
      <c r="H582" s="18"/>
      <c r="I582" s="30" t="str">
        <f t="shared" ref="I582:I645" si="45">IF(OR(D582="",E582=""),"",ROUND(MOD(E582-D582,1)*1440,0))</f>
        <v/>
      </c>
      <c r="J582" s="38" t="str">
        <f t="shared" ref="J582:J645" si="46">IF(F582="","",IFERROR(INDEX(LYDO_TEN,MATCH(F582,DS_LYDO,0)),"?"))</f>
        <v/>
      </c>
      <c r="K582" s="30" t="str">
        <f t="shared" ref="K582:K645" si="47">IF(F582="","",IFERROR(INDEX(LYDO_LOAI,MATCH(F582,DS_LYDO,0)),"?"))</f>
        <v/>
      </c>
      <c r="L582" s="30" t="str">
        <f t="shared" ref="L582:L645" si="48">IF(F582="","",IFERROR(INDEX(LYDO_BP,MATCH(F582,DS_LYDO,0)),"?"))</f>
        <v/>
      </c>
      <c r="M582" s="30" t="str">
        <f t="shared" ref="M582:M645" si="49">IF(I582="","",IF(MOD(I582,5)=0,1,0))</f>
        <v/>
      </c>
    </row>
    <row r="583" spans="1:13" x14ac:dyDescent="0.2">
      <c r="A583" s="35"/>
      <c r="B583" s="21"/>
      <c r="C583" s="18"/>
      <c r="D583" s="20"/>
      <c r="E583" s="20"/>
      <c r="F583" s="21"/>
      <c r="G583" s="21"/>
      <c r="H583" s="18"/>
      <c r="I583" s="30" t="str">
        <f t="shared" si="45"/>
        <v/>
      </c>
      <c r="J583" s="38" t="str">
        <f t="shared" si="46"/>
        <v/>
      </c>
      <c r="K583" s="30" t="str">
        <f t="shared" si="47"/>
        <v/>
      </c>
      <c r="L583" s="30" t="str">
        <f t="shared" si="48"/>
        <v/>
      </c>
      <c r="M583" s="30" t="str">
        <f t="shared" si="49"/>
        <v/>
      </c>
    </row>
    <row r="584" spans="1:13" x14ac:dyDescent="0.2">
      <c r="A584" s="35"/>
      <c r="B584" s="21"/>
      <c r="C584" s="18"/>
      <c r="D584" s="20"/>
      <c r="E584" s="20"/>
      <c r="F584" s="21"/>
      <c r="G584" s="21"/>
      <c r="H584" s="18"/>
      <c r="I584" s="30" t="str">
        <f t="shared" si="45"/>
        <v/>
      </c>
      <c r="J584" s="38" t="str">
        <f t="shared" si="46"/>
        <v/>
      </c>
      <c r="K584" s="30" t="str">
        <f t="shared" si="47"/>
        <v/>
      </c>
      <c r="L584" s="30" t="str">
        <f t="shared" si="48"/>
        <v/>
      </c>
      <c r="M584" s="30" t="str">
        <f t="shared" si="49"/>
        <v/>
      </c>
    </row>
    <row r="585" spans="1:13" x14ac:dyDescent="0.2">
      <c r="A585" s="35"/>
      <c r="B585" s="21"/>
      <c r="C585" s="18"/>
      <c r="D585" s="20"/>
      <c r="E585" s="20"/>
      <c r="F585" s="21"/>
      <c r="G585" s="21"/>
      <c r="H585" s="18"/>
      <c r="I585" s="30" t="str">
        <f t="shared" si="45"/>
        <v/>
      </c>
      <c r="J585" s="38" t="str">
        <f t="shared" si="46"/>
        <v/>
      </c>
      <c r="K585" s="30" t="str">
        <f t="shared" si="47"/>
        <v/>
      </c>
      <c r="L585" s="30" t="str">
        <f t="shared" si="48"/>
        <v/>
      </c>
      <c r="M585" s="30" t="str">
        <f t="shared" si="49"/>
        <v/>
      </c>
    </row>
    <row r="586" spans="1:13" x14ac:dyDescent="0.2">
      <c r="A586" s="35"/>
      <c r="B586" s="21"/>
      <c r="C586" s="18"/>
      <c r="D586" s="20"/>
      <c r="E586" s="20"/>
      <c r="F586" s="21"/>
      <c r="G586" s="21"/>
      <c r="H586" s="18"/>
      <c r="I586" s="30" t="str">
        <f t="shared" si="45"/>
        <v/>
      </c>
      <c r="J586" s="38" t="str">
        <f t="shared" si="46"/>
        <v/>
      </c>
      <c r="K586" s="30" t="str">
        <f t="shared" si="47"/>
        <v/>
      </c>
      <c r="L586" s="30" t="str">
        <f t="shared" si="48"/>
        <v/>
      </c>
      <c r="M586" s="30" t="str">
        <f t="shared" si="49"/>
        <v/>
      </c>
    </row>
    <row r="587" spans="1:13" x14ac:dyDescent="0.2">
      <c r="A587" s="35"/>
      <c r="B587" s="21"/>
      <c r="C587" s="18"/>
      <c r="D587" s="20"/>
      <c r="E587" s="20"/>
      <c r="F587" s="21"/>
      <c r="G587" s="21"/>
      <c r="H587" s="18"/>
      <c r="I587" s="30" t="str">
        <f t="shared" si="45"/>
        <v/>
      </c>
      <c r="J587" s="38" t="str">
        <f t="shared" si="46"/>
        <v/>
      </c>
      <c r="K587" s="30" t="str">
        <f t="shared" si="47"/>
        <v/>
      </c>
      <c r="L587" s="30" t="str">
        <f t="shared" si="48"/>
        <v/>
      </c>
      <c r="M587" s="30" t="str">
        <f t="shared" si="49"/>
        <v/>
      </c>
    </row>
    <row r="588" spans="1:13" x14ac:dyDescent="0.2">
      <c r="A588" s="35"/>
      <c r="B588" s="21"/>
      <c r="C588" s="18"/>
      <c r="D588" s="20"/>
      <c r="E588" s="20"/>
      <c r="F588" s="21"/>
      <c r="G588" s="21"/>
      <c r="H588" s="18"/>
      <c r="I588" s="30" t="str">
        <f t="shared" si="45"/>
        <v/>
      </c>
      <c r="J588" s="38" t="str">
        <f t="shared" si="46"/>
        <v/>
      </c>
      <c r="K588" s="30" t="str">
        <f t="shared" si="47"/>
        <v/>
      </c>
      <c r="L588" s="30" t="str">
        <f t="shared" si="48"/>
        <v/>
      </c>
      <c r="M588" s="30" t="str">
        <f t="shared" si="49"/>
        <v/>
      </c>
    </row>
    <row r="589" spans="1:13" x14ac:dyDescent="0.2">
      <c r="A589" s="35"/>
      <c r="B589" s="21"/>
      <c r="C589" s="18"/>
      <c r="D589" s="20"/>
      <c r="E589" s="20"/>
      <c r="F589" s="21"/>
      <c r="G589" s="21"/>
      <c r="H589" s="18"/>
      <c r="I589" s="30" t="str">
        <f t="shared" si="45"/>
        <v/>
      </c>
      <c r="J589" s="38" t="str">
        <f t="shared" si="46"/>
        <v/>
      </c>
      <c r="K589" s="30" t="str">
        <f t="shared" si="47"/>
        <v/>
      </c>
      <c r="L589" s="30" t="str">
        <f t="shared" si="48"/>
        <v/>
      </c>
      <c r="M589" s="30" t="str">
        <f t="shared" si="49"/>
        <v/>
      </c>
    </row>
    <row r="590" spans="1:13" x14ac:dyDescent="0.2">
      <c r="A590" s="35"/>
      <c r="B590" s="21"/>
      <c r="C590" s="18"/>
      <c r="D590" s="20"/>
      <c r="E590" s="20"/>
      <c r="F590" s="21"/>
      <c r="G590" s="21"/>
      <c r="H590" s="18"/>
      <c r="I590" s="30" t="str">
        <f t="shared" si="45"/>
        <v/>
      </c>
      <c r="J590" s="38" t="str">
        <f t="shared" si="46"/>
        <v/>
      </c>
      <c r="K590" s="30" t="str">
        <f t="shared" si="47"/>
        <v/>
      </c>
      <c r="L590" s="30" t="str">
        <f t="shared" si="48"/>
        <v/>
      </c>
      <c r="M590" s="30" t="str">
        <f t="shared" si="49"/>
        <v/>
      </c>
    </row>
    <row r="591" spans="1:13" x14ac:dyDescent="0.2">
      <c r="A591" s="35"/>
      <c r="B591" s="21"/>
      <c r="C591" s="18"/>
      <c r="D591" s="20"/>
      <c r="E591" s="20"/>
      <c r="F591" s="21"/>
      <c r="G591" s="21"/>
      <c r="H591" s="18"/>
      <c r="I591" s="30" t="str">
        <f t="shared" si="45"/>
        <v/>
      </c>
      <c r="J591" s="38" t="str">
        <f t="shared" si="46"/>
        <v/>
      </c>
      <c r="K591" s="30" t="str">
        <f t="shared" si="47"/>
        <v/>
      </c>
      <c r="L591" s="30" t="str">
        <f t="shared" si="48"/>
        <v/>
      </c>
      <c r="M591" s="30" t="str">
        <f t="shared" si="49"/>
        <v/>
      </c>
    </row>
    <row r="592" spans="1:13" x14ac:dyDescent="0.2">
      <c r="A592" s="35"/>
      <c r="B592" s="21"/>
      <c r="C592" s="18"/>
      <c r="D592" s="20"/>
      <c r="E592" s="20"/>
      <c r="F592" s="21"/>
      <c r="G592" s="21"/>
      <c r="H592" s="18"/>
      <c r="I592" s="30" t="str">
        <f t="shared" si="45"/>
        <v/>
      </c>
      <c r="J592" s="38" t="str">
        <f t="shared" si="46"/>
        <v/>
      </c>
      <c r="K592" s="30" t="str">
        <f t="shared" si="47"/>
        <v/>
      </c>
      <c r="L592" s="30" t="str">
        <f t="shared" si="48"/>
        <v/>
      </c>
      <c r="M592" s="30" t="str">
        <f t="shared" si="49"/>
        <v/>
      </c>
    </row>
    <row r="593" spans="1:13" x14ac:dyDescent="0.2">
      <c r="A593" s="35"/>
      <c r="B593" s="21"/>
      <c r="C593" s="18"/>
      <c r="D593" s="20"/>
      <c r="E593" s="20"/>
      <c r="F593" s="21"/>
      <c r="G593" s="21"/>
      <c r="H593" s="18"/>
      <c r="I593" s="30" t="str">
        <f t="shared" si="45"/>
        <v/>
      </c>
      <c r="J593" s="38" t="str">
        <f t="shared" si="46"/>
        <v/>
      </c>
      <c r="K593" s="30" t="str">
        <f t="shared" si="47"/>
        <v/>
      </c>
      <c r="L593" s="30" t="str">
        <f t="shared" si="48"/>
        <v/>
      </c>
      <c r="M593" s="30" t="str">
        <f t="shared" si="49"/>
        <v/>
      </c>
    </row>
    <row r="594" spans="1:13" x14ac:dyDescent="0.2">
      <c r="A594" s="35"/>
      <c r="B594" s="21"/>
      <c r="C594" s="18"/>
      <c r="D594" s="20"/>
      <c r="E594" s="20"/>
      <c r="F594" s="21"/>
      <c r="G594" s="21"/>
      <c r="H594" s="18"/>
      <c r="I594" s="30" t="str">
        <f t="shared" si="45"/>
        <v/>
      </c>
      <c r="J594" s="38" t="str">
        <f t="shared" si="46"/>
        <v/>
      </c>
      <c r="K594" s="30" t="str">
        <f t="shared" si="47"/>
        <v/>
      </c>
      <c r="L594" s="30" t="str">
        <f t="shared" si="48"/>
        <v/>
      </c>
      <c r="M594" s="30" t="str">
        <f t="shared" si="49"/>
        <v/>
      </c>
    </row>
    <row r="595" spans="1:13" x14ac:dyDescent="0.2">
      <c r="A595" s="35"/>
      <c r="B595" s="21"/>
      <c r="C595" s="18"/>
      <c r="D595" s="20"/>
      <c r="E595" s="20"/>
      <c r="F595" s="21"/>
      <c r="G595" s="21"/>
      <c r="H595" s="18"/>
      <c r="I595" s="30" t="str">
        <f t="shared" si="45"/>
        <v/>
      </c>
      <c r="J595" s="38" t="str">
        <f t="shared" si="46"/>
        <v/>
      </c>
      <c r="K595" s="30" t="str">
        <f t="shared" si="47"/>
        <v/>
      </c>
      <c r="L595" s="30" t="str">
        <f t="shared" si="48"/>
        <v/>
      </c>
      <c r="M595" s="30" t="str">
        <f t="shared" si="49"/>
        <v/>
      </c>
    </row>
    <row r="596" spans="1:13" x14ac:dyDescent="0.2">
      <c r="A596" s="35"/>
      <c r="B596" s="21"/>
      <c r="C596" s="18"/>
      <c r="D596" s="20"/>
      <c r="E596" s="20"/>
      <c r="F596" s="21"/>
      <c r="G596" s="21"/>
      <c r="H596" s="18"/>
      <c r="I596" s="30" t="str">
        <f t="shared" si="45"/>
        <v/>
      </c>
      <c r="J596" s="38" t="str">
        <f t="shared" si="46"/>
        <v/>
      </c>
      <c r="K596" s="30" t="str">
        <f t="shared" si="47"/>
        <v/>
      </c>
      <c r="L596" s="30" t="str">
        <f t="shared" si="48"/>
        <v/>
      </c>
      <c r="M596" s="30" t="str">
        <f t="shared" si="49"/>
        <v/>
      </c>
    </row>
    <row r="597" spans="1:13" x14ac:dyDescent="0.2">
      <c r="A597" s="35"/>
      <c r="B597" s="21"/>
      <c r="C597" s="18"/>
      <c r="D597" s="20"/>
      <c r="E597" s="20"/>
      <c r="F597" s="21"/>
      <c r="G597" s="21"/>
      <c r="H597" s="18"/>
      <c r="I597" s="30" t="str">
        <f t="shared" si="45"/>
        <v/>
      </c>
      <c r="J597" s="38" t="str">
        <f t="shared" si="46"/>
        <v/>
      </c>
      <c r="K597" s="30" t="str">
        <f t="shared" si="47"/>
        <v/>
      </c>
      <c r="L597" s="30" t="str">
        <f t="shared" si="48"/>
        <v/>
      </c>
      <c r="M597" s="30" t="str">
        <f t="shared" si="49"/>
        <v/>
      </c>
    </row>
    <row r="598" spans="1:13" x14ac:dyDescent="0.2">
      <c r="A598" s="35"/>
      <c r="B598" s="21"/>
      <c r="C598" s="18"/>
      <c r="D598" s="20"/>
      <c r="E598" s="20"/>
      <c r="F598" s="21"/>
      <c r="G598" s="21"/>
      <c r="H598" s="18"/>
      <c r="I598" s="30" t="str">
        <f t="shared" si="45"/>
        <v/>
      </c>
      <c r="J598" s="38" t="str">
        <f t="shared" si="46"/>
        <v/>
      </c>
      <c r="K598" s="30" t="str">
        <f t="shared" si="47"/>
        <v/>
      </c>
      <c r="L598" s="30" t="str">
        <f t="shared" si="48"/>
        <v/>
      </c>
      <c r="M598" s="30" t="str">
        <f t="shared" si="49"/>
        <v/>
      </c>
    </row>
    <row r="599" spans="1:13" x14ac:dyDescent="0.2">
      <c r="A599" s="35"/>
      <c r="B599" s="21"/>
      <c r="C599" s="18"/>
      <c r="D599" s="20"/>
      <c r="E599" s="20"/>
      <c r="F599" s="21"/>
      <c r="G599" s="21"/>
      <c r="H599" s="18"/>
      <c r="I599" s="30" t="str">
        <f t="shared" si="45"/>
        <v/>
      </c>
      <c r="J599" s="38" t="str">
        <f t="shared" si="46"/>
        <v/>
      </c>
      <c r="K599" s="30" t="str">
        <f t="shared" si="47"/>
        <v/>
      </c>
      <c r="L599" s="30" t="str">
        <f t="shared" si="48"/>
        <v/>
      </c>
      <c r="M599" s="30" t="str">
        <f t="shared" si="49"/>
        <v/>
      </c>
    </row>
    <row r="600" spans="1:13" x14ac:dyDescent="0.2">
      <c r="A600" s="35"/>
      <c r="B600" s="21"/>
      <c r="C600" s="18"/>
      <c r="D600" s="20"/>
      <c r="E600" s="20"/>
      <c r="F600" s="21"/>
      <c r="G600" s="21"/>
      <c r="H600" s="18"/>
      <c r="I600" s="30" t="str">
        <f t="shared" si="45"/>
        <v/>
      </c>
      <c r="J600" s="38" t="str">
        <f t="shared" si="46"/>
        <v/>
      </c>
      <c r="K600" s="30" t="str">
        <f t="shared" si="47"/>
        <v/>
      </c>
      <c r="L600" s="30" t="str">
        <f t="shared" si="48"/>
        <v/>
      </c>
      <c r="M600" s="30" t="str">
        <f t="shared" si="49"/>
        <v/>
      </c>
    </row>
    <row r="601" spans="1:13" x14ac:dyDescent="0.2">
      <c r="A601" s="35"/>
      <c r="B601" s="21"/>
      <c r="C601" s="18"/>
      <c r="D601" s="20"/>
      <c r="E601" s="20"/>
      <c r="F601" s="21"/>
      <c r="G601" s="21"/>
      <c r="H601" s="18"/>
      <c r="I601" s="30" t="str">
        <f t="shared" si="45"/>
        <v/>
      </c>
      <c r="J601" s="38" t="str">
        <f t="shared" si="46"/>
        <v/>
      </c>
      <c r="K601" s="30" t="str">
        <f t="shared" si="47"/>
        <v/>
      </c>
      <c r="L601" s="30" t="str">
        <f t="shared" si="48"/>
        <v/>
      </c>
      <c r="M601" s="30" t="str">
        <f t="shared" si="49"/>
        <v/>
      </c>
    </row>
    <row r="602" spans="1:13" x14ac:dyDescent="0.2">
      <c r="A602" s="35"/>
      <c r="B602" s="21"/>
      <c r="C602" s="18"/>
      <c r="D602" s="20"/>
      <c r="E602" s="20"/>
      <c r="F602" s="21"/>
      <c r="G602" s="21"/>
      <c r="H602" s="18"/>
      <c r="I602" s="30" t="str">
        <f t="shared" si="45"/>
        <v/>
      </c>
      <c r="J602" s="38" t="str">
        <f t="shared" si="46"/>
        <v/>
      </c>
      <c r="K602" s="30" t="str">
        <f t="shared" si="47"/>
        <v/>
      </c>
      <c r="L602" s="30" t="str">
        <f t="shared" si="48"/>
        <v/>
      </c>
      <c r="M602" s="30" t="str">
        <f t="shared" si="49"/>
        <v/>
      </c>
    </row>
    <row r="603" spans="1:13" x14ac:dyDescent="0.2">
      <c r="A603" s="35"/>
      <c r="B603" s="21"/>
      <c r="C603" s="18"/>
      <c r="D603" s="20"/>
      <c r="E603" s="20"/>
      <c r="F603" s="21"/>
      <c r="G603" s="21"/>
      <c r="H603" s="18"/>
      <c r="I603" s="30" t="str">
        <f t="shared" si="45"/>
        <v/>
      </c>
      <c r="J603" s="38" t="str">
        <f t="shared" si="46"/>
        <v/>
      </c>
      <c r="K603" s="30" t="str">
        <f t="shared" si="47"/>
        <v/>
      </c>
      <c r="L603" s="30" t="str">
        <f t="shared" si="48"/>
        <v/>
      </c>
      <c r="M603" s="30" t="str">
        <f t="shared" si="49"/>
        <v/>
      </c>
    </row>
    <row r="604" spans="1:13" x14ac:dyDescent="0.2">
      <c r="A604" s="35"/>
      <c r="B604" s="21"/>
      <c r="C604" s="18"/>
      <c r="D604" s="20"/>
      <c r="E604" s="20"/>
      <c r="F604" s="21"/>
      <c r="G604" s="21"/>
      <c r="H604" s="18"/>
      <c r="I604" s="30" t="str">
        <f t="shared" si="45"/>
        <v/>
      </c>
      <c r="J604" s="38" t="str">
        <f t="shared" si="46"/>
        <v/>
      </c>
      <c r="K604" s="30" t="str">
        <f t="shared" si="47"/>
        <v/>
      </c>
      <c r="L604" s="30" t="str">
        <f t="shared" si="48"/>
        <v/>
      </c>
      <c r="M604" s="30" t="str">
        <f t="shared" si="49"/>
        <v/>
      </c>
    </row>
    <row r="605" spans="1:13" x14ac:dyDescent="0.2">
      <c r="A605" s="35"/>
      <c r="B605" s="21"/>
      <c r="C605" s="18"/>
      <c r="D605" s="20"/>
      <c r="E605" s="20"/>
      <c r="F605" s="21"/>
      <c r="G605" s="21"/>
      <c r="H605" s="18"/>
      <c r="I605" s="30" t="str">
        <f t="shared" si="45"/>
        <v/>
      </c>
      <c r="J605" s="38" t="str">
        <f t="shared" si="46"/>
        <v/>
      </c>
      <c r="K605" s="30" t="str">
        <f t="shared" si="47"/>
        <v/>
      </c>
      <c r="L605" s="30" t="str">
        <f t="shared" si="48"/>
        <v/>
      </c>
      <c r="M605" s="30" t="str">
        <f t="shared" si="49"/>
        <v/>
      </c>
    </row>
    <row r="606" spans="1:13" x14ac:dyDescent="0.2">
      <c r="A606" s="35"/>
      <c r="B606" s="21"/>
      <c r="C606" s="18"/>
      <c r="D606" s="20"/>
      <c r="E606" s="20"/>
      <c r="F606" s="21"/>
      <c r="G606" s="21"/>
      <c r="H606" s="18"/>
      <c r="I606" s="30" t="str">
        <f t="shared" si="45"/>
        <v/>
      </c>
      <c r="J606" s="38" t="str">
        <f t="shared" si="46"/>
        <v/>
      </c>
      <c r="K606" s="30" t="str">
        <f t="shared" si="47"/>
        <v/>
      </c>
      <c r="L606" s="30" t="str">
        <f t="shared" si="48"/>
        <v/>
      </c>
      <c r="M606" s="30" t="str">
        <f t="shared" si="49"/>
        <v/>
      </c>
    </row>
    <row r="607" spans="1:13" x14ac:dyDescent="0.2">
      <c r="A607" s="35"/>
      <c r="B607" s="21"/>
      <c r="C607" s="18"/>
      <c r="D607" s="20"/>
      <c r="E607" s="20"/>
      <c r="F607" s="21"/>
      <c r="G607" s="21"/>
      <c r="H607" s="18"/>
      <c r="I607" s="30" t="str">
        <f t="shared" si="45"/>
        <v/>
      </c>
      <c r="J607" s="38" t="str">
        <f t="shared" si="46"/>
        <v/>
      </c>
      <c r="K607" s="30" t="str">
        <f t="shared" si="47"/>
        <v/>
      </c>
      <c r="L607" s="30" t="str">
        <f t="shared" si="48"/>
        <v/>
      </c>
      <c r="M607" s="30" t="str">
        <f t="shared" si="49"/>
        <v/>
      </c>
    </row>
    <row r="608" spans="1:13" x14ac:dyDescent="0.2">
      <c r="A608" s="35"/>
      <c r="B608" s="21"/>
      <c r="C608" s="18"/>
      <c r="D608" s="20"/>
      <c r="E608" s="20"/>
      <c r="F608" s="21"/>
      <c r="G608" s="21"/>
      <c r="H608" s="18"/>
      <c r="I608" s="30" t="str">
        <f t="shared" si="45"/>
        <v/>
      </c>
      <c r="J608" s="38" t="str">
        <f t="shared" si="46"/>
        <v/>
      </c>
      <c r="K608" s="30" t="str">
        <f t="shared" si="47"/>
        <v/>
      </c>
      <c r="L608" s="30" t="str">
        <f t="shared" si="48"/>
        <v/>
      </c>
      <c r="M608" s="30" t="str">
        <f t="shared" si="49"/>
        <v/>
      </c>
    </row>
    <row r="609" spans="1:13" x14ac:dyDescent="0.2">
      <c r="A609" s="35"/>
      <c r="B609" s="21"/>
      <c r="C609" s="18"/>
      <c r="D609" s="20"/>
      <c r="E609" s="20"/>
      <c r="F609" s="21"/>
      <c r="G609" s="21"/>
      <c r="H609" s="18"/>
      <c r="I609" s="30" t="str">
        <f t="shared" si="45"/>
        <v/>
      </c>
      <c r="J609" s="38" t="str">
        <f t="shared" si="46"/>
        <v/>
      </c>
      <c r="K609" s="30" t="str">
        <f t="shared" si="47"/>
        <v/>
      </c>
      <c r="L609" s="30" t="str">
        <f t="shared" si="48"/>
        <v/>
      </c>
      <c r="M609" s="30" t="str">
        <f t="shared" si="49"/>
        <v/>
      </c>
    </row>
    <row r="610" spans="1:13" x14ac:dyDescent="0.2">
      <c r="A610" s="35"/>
      <c r="B610" s="21"/>
      <c r="C610" s="18"/>
      <c r="D610" s="20"/>
      <c r="E610" s="20"/>
      <c r="F610" s="21"/>
      <c r="G610" s="21"/>
      <c r="H610" s="18"/>
      <c r="I610" s="30" t="str">
        <f t="shared" si="45"/>
        <v/>
      </c>
      <c r="J610" s="38" t="str">
        <f t="shared" si="46"/>
        <v/>
      </c>
      <c r="K610" s="30" t="str">
        <f t="shared" si="47"/>
        <v/>
      </c>
      <c r="L610" s="30" t="str">
        <f t="shared" si="48"/>
        <v/>
      </c>
      <c r="M610" s="30" t="str">
        <f t="shared" si="49"/>
        <v/>
      </c>
    </row>
    <row r="611" spans="1:13" x14ac:dyDescent="0.2">
      <c r="A611" s="35"/>
      <c r="B611" s="21"/>
      <c r="C611" s="18"/>
      <c r="D611" s="20"/>
      <c r="E611" s="20"/>
      <c r="F611" s="21"/>
      <c r="G611" s="21"/>
      <c r="H611" s="18"/>
      <c r="I611" s="30" t="str">
        <f t="shared" si="45"/>
        <v/>
      </c>
      <c r="J611" s="38" t="str">
        <f t="shared" si="46"/>
        <v/>
      </c>
      <c r="K611" s="30" t="str">
        <f t="shared" si="47"/>
        <v/>
      </c>
      <c r="L611" s="30" t="str">
        <f t="shared" si="48"/>
        <v/>
      </c>
      <c r="M611" s="30" t="str">
        <f t="shared" si="49"/>
        <v/>
      </c>
    </row>
    <row r="612" spans="1:13" x14ac:dyDescent="0.2">
      <c r="A612" s="35"/>
      <c r="B612" s="21"/>
      <c r="C612" s="18"/>
      <c r="D612" s="20"/>
      <c r="E612" s="20"/>
      <c r="F612" s="21"/>
      <c r="G612" s="21"/>
      <c r="H612" s="18"/>
      <c r="I612" s="30" t="str">
        <f t="shared" si="45"/>
        <v/>
      </c>
      <c r="J612" s="38" t="str">
        <f t="shared" si="46"/>
        <v/>
      </c>
      <c r="K612" s="30" t="str">
        <f t="shared" si="47"/>
        <v/>
      </c>
      <c r="L612" s="30" t="str">
        <f t="shared" si="48"/>
        <v/>
      </c>
      <c r="M612" s="30" t="str">
        <f t="shared" si="49"/>
        <v/>
      </c>
    </row>
    <row r="613" spans="1:13" x14ac:dyDescent="0.2">
      <c r="A613" s="35"/>
      <c r="B613" s="21"/>
      <c r="C613" s="18"/>
      <c r="D613" s="20"/>
      <c r="E613" s="20"/>
      <c r="F613" s="21"/>
      <c r="G613" s="21"/>
      <c r="H613" s="18"/>
      <c r="I613" s="30" t="str">
        <f t="shared" si="45"/>
        <v/>
      </c>
      <c r="J613" s="38" t="str">
        <f t="shared" si="46"/>
        <v/>
      </c>
      <c r="K613" s="30" t="str">
        <f t="shared" si="47"/>
        <v/>
      </c>
      <c r="L613" s="30" t="str">
        <f t="shared" si="48"/>
        <v/>
      </c>
      <c r="M613" s="30" t="str">
        <f t="shared" si="49"/>
        <v/>
      </c>
    </row>
    <row r="614" spans="1:13" x14ac:dyDescent="0.2">
      <c r="A614" s="35"/>
      <c r="B614" s="21"/>
      <c r="C614" s="18"/>
      <c r="D614" s="20"/>
      <c r="E614" s="20"/>
      <c r="F614" s="21"/>
      <c r="G614" s="21"/>
      <c r="H614" s="18"/>
      <c r="I614" s="30" t="str">
        <f t="shared" si="45"/>
        <v/>
      </c>
      <c r="J614" s="38" t="str">
        <f t="shared" si="46"/>
        <v/>
      </c>
      <c r="K614" s="30" t="str">
        <f t="shared" si="47"/>
        <v/>
      </c>
      <c r="L614" s="30" t="str">
        <f t="shared" si="48"/>
        <v/>
      </c>
      <c r="M614" s="30" t="str">
        <f t="shared" si="49"/>
        <v/>
      </c>
    </row>
    <row r="615" spans="1:13" x14ac:dyDescent="0.2">
      <c r="A615" s="35"/>
      <c r="B615" s="21"/>
      <c r="C615" s="18"/>
      <c r="D615" s="20"/>
      <c r="E615" s="20"/>
      <c r="F615" s="21"/>
      <c r="G615" s="21"/>
      <c r="H615" s="18"/>
      <c r="I615" s="30" t="str">
        <f t="shared" si="45"/>
        <v/>
      </c>
      <c r="J615" s="38" t="str">
        <f t="shared" si="46"/>
        <v/>
      </c>
      <c r="K615" s="30" t="str">
        <f t="shared" si="47"/>
        <v/>
      </c>
      <c r="L615" s="30" t="str">
        <f t="shared" si="48"/>
        <v/>
      </c>
      <c r="M615" s="30" t="str">
        <f t="shared" si="49"/>
        <v/>
      </c>
    </row>
    <row r="616" spans="1:13" x14ac:dyDescent="0.2">
      <c r="A616" s="35"/>
      <c r="B616" s="21"/>
      <c r="C616" s="18"/>
      <c r="D616" s="20"/>
      <c r="E616" s="20"/>
      <c r="F616" s="21"/>
      <c r="G616" s="21"/>
      <c r="H616" s="18"/>
      <c r="I616" s="30" t="str">
        <f t="shared" si="45"/>
        <v/>
      </c>
      <c r="J616" s="38" t="str">
        <f t="shared" si="46"/>
        <v/>
      </c>
      <c r="K616" s="30" t="str">
        <f t="shared" si="47"/>
        <v/>
      </c>
      <c r="L616" s="30" t="str">
        <f t="shared" si="48"/>
        <v/>
      </c>
      <c r="M616" s="30" t="str">
        <f t="shared" si="49"/>
        <v/>
      </c>
    </row>
    <row r="617" spans="1:13" x14ac:dyDescent="0.2">
      <c r="A617" s="35"/>
      <c r="B617" s="21"/>
      <c r="C617" s="18"/>
      <c r="D617" s="20"/>
      <c r="E617" s="20"/>
      <c r="F617" s="21"/>
      <c r="G617" s="21"/>
      <c r="H617" s="18"/>
      <c r="I617" s="30" t="str">
        <f t="shared" si="45"/>
        <v/>
      </c>
      <c r="J617" s="38" t="str">
        <f t="shared" si="46"/>
        <v/>
      </c>
      <c r="K617" s="30" t="str">
        <f t="shared" si="47"/>
        <v/>
      </c>
      <c r="L617" s="30" t="str">
        <f t="shared" si="48"/>
        <v/>
      </c>
      <c r="M617" s="30" t="str">
        <f t="shared" si="49"/>
        <v/>
      </c>
    </row>
    <row r="618" spans="1:13" x14ac:dyDescent="0.2">
      <c r="A618" s="35"/>
      <c r="B618" s="21"/>
      <c r="C618" s="18"/>
      <c r="D618" s="20"/>
      <c r="E618" s="20"/>
      <c r="F618" s="21"/>
      <c r="G618" s="21"/>
      <c r="H618" s="18"/>
      <c r="I618" s="30" t="str">
        <f t="shared" si="45"/>
        <v/>
      </c>
      <c r="J618" s="38" t="str">
        <f t="shared" si="46"/>
        <v/>
      </c>
      <c r="K618" s="30" t="str">
        <f t="shared" si="47"/>
        <v/>
      </c>
      <c r="L618" s="30" t="str">
        <f t="shared" si="48"/>
        <v/>
      </c>
      <c r="M618" s="30" t="str">
        <f t="shared" si="49"/>
        <v/>
      </c>
    </row>
    <row r="619" spans="1:13" x14ac:dyDescent="0.2">
      <c r="A619" s="35"/>
      <c r="B619" s="21"/>
      <c r="C619" s="18"/>
      <c r="D619" s="20"/>
      <c r="E619" s="20"/>
      <c r="F619" s="21"/>
      <c r="G619" s="21"/>
      <c r="H619" s="18"/>
      <c r="I619" s="30" t="str">
        <f t="shared" si="45"/>
        <v/>
      </c>
      <c r="J619" s="38" t="str">
        <f t="shared" si="46"/>
        <v/>
      </c>
      <c r="K619" s="30" t="str">
        <f t="shared" si="47"/>
        <v/>
      </c>
      <c r="L619" s="30" t="str">
        <f t="shared" si="48"/>
        <v/>
      </c>
      <c r="M619" s="30" t="str">
        <f t="shared" si="49"/>
        <v/>
      </c>
    </row>
    <row r="620" spans="1:13" x14ac:dyDescent="0.2">
      <c r="A620" s="35"/>
      <c r="B620" s="21"/>
      <c r="C620" s="18"/>
      <c r="D620" s="20"/>
      <c r="E620" s="20"/>
      <c r="F620" s="21"/>
      <c r="G620" s="21"/>
      <c r="H620" s="18"/>
      <c r="I620" s="30" t="str">
        <f t="shared" si="45"/>
        <v/>
      </c>
      <c r="J620" s="38" t="str">
        <f t="shared" si="46"/>
        <v/>
      </c>
      <c r="K620" s="30" t="str">
        <f t="shared" si="47"/>
        <v/>
      </c>
      <c r="L620" s="30" t="str">
        <f t="shared" si="48"/>
        <v/>
      </c>
      <c r="M620" s="30" t="str">
        <f t="shared" si="49"/>
        <v/>
      </c>
    </row>
    <row r="621" spans="1:13" x14ac:dyDescent="0.2">
      <c r="A621" s="35"/>
      <c r="B621" s="21"/>
      <c r="C621" s="18"/>
      <c r="D621" s="20"/>
      <c r="E621" s="20"/>
      <c r="F621" s="21"/>
      <c r="G621" s="21"/>
      <c r="H621" s="18"/>
      <c r="I621" s="30" t="str">
        <f t="shared" si="45"/>
        <v/>
      </c>
      <c r="J621" s="38" t="str">
        <f t="shared" si="46"/>
        <v/>
      </c>
      <c r="K621" s="30" t="str">
        <f t="shared" si="47"/>
        <v/>
      </c>
      <c r="L621" s="30" t="str">
        <f t="shared" si="48"/>
        <v/>
      </c>
      <c r="M621" s="30" t="str">
        <f t="shared" si="49"/>
        <v/>
      </c>
    </row>
    <row r="622" spans="1:13" x14ac:dyDescent="0.2">
      <c r="A622" s="35"/>
      <c r="B622" s="21"/>
      <c r="C622" s="18"/>
      <c r="D622" s="20"/>
      <c r="E622" s="20"/>
      <c r="F622" s="21"/>
      <c r="G622" s="21"/>
      <c r="H622" s="18"/>
      <c r="I622" s="30" t="str">
        <f t="shared" si="45"/>
        <v/>
      </c>
      <c r="J622" s="38" t="str">
        <f t="shared" si="46"/>
        <v/>
      </c>
      <c r="K622" s="30" t="str">
        <f t="shared" si="47"/>
        <v/>
      </c>
      <c r="L622" s="30" t="str">
        <f t="shared" si="48"/>
        <v/>
      </c>
      <c r="M622" s="30" t="str">
        <f t="shared" si="49"/>
        <v/>
      </c>
    </row>
    <row r="623" spans="1:13" x14ac:dyDescent="0.2">
      <c r="A623" s="35"/>
      <c r="B623" s="21"/>
      <c r="C623" s="18"/>
      <c r="D623" s="20"/>
      <c r="E623" s="20"/>
      <c r="F623" s="21"/>
      <c r="G623" s="21"/>
      <c r="H623" s="18"/>
      <c r="I623" s="30" t="str">
        <f t="shared" si="45"/>
        <v/>
      </c>
      <c r="J623" s="38" t="str">
        <f t="shared" si="46"/>
        <v/>
      </c>
      <c r="K623" s="30" t="str">
        <f t="shared" si="47"/>
        <v/>
      </c>
      <c r="L623" s="30" t="str">
        <f t="shared" si="48"/>
        <v/>
      </c>
      <c r="M623" s="30" t="str">
        <f t="shared" si="49"/>
        <v/>
      </c>
    </row>
    <row r="624" spans="1:13" x14ac:dyDescent="0.2">
      <c r="A624" s="35"/>
      <c r="B624" s="21"/>
      <c r="C624" s="18"/>
      <c r="D624" s="20"/>
      <c r="E624" s="20"/>
      <c r="F624" s="21"/>
      <c r="G624" s="21"/>
      <c r="H624" s="18"/>
      <c r="I624" s="30" t="str">
        <f t="shared" si="45"/>
        <v/>
      </c>
      <c r="J624" s="38" t="str">
        <f t="shared" si="46"/>
        <v/>
      </c>
      <c r="K624" s="30" t="str">
        <f t="shared" si="47"/>
        <v/>
      </c>
      <c r="L624" s="30" t="str">
        <f t="shared" si="48"/>
        <v/>
      </c>
      <c r="M624" s="30" t="str">
        <f t="shared" si="49"/>
        <v/>
      </c>
    </row>
    <row r="625" spans="1:13" x14ac:dyDescent="0.2">
      <c r="A625" s="35"/>
      <c r="B625" s="21"/>
      <c r="C625" s="18"/>
      <c r="D625" s="20"/>
      <c r="E625" s="20"/>
      <c r="F625" s="21"/>
      <c r="G625" s="21"/>
      <c r="H625" s="18"/>
      <c r="I625" s="30" t="str">
        <f t="shared" si="45"/>
        <v/>
      </c>
      <c r="J625" s="38" t="str">
        <f t="shared" si="46"/>
        <v/>
      </c>
      <c r="K625" s="30" t="str">
        <f t="shared" si="47"/>
        <v/>
      </c>
      <c r="L625" s="30" t="str">
        <f t="shared" si="48"/>
        <v/>
      </c>
      <c r="M625" s="30" t="str">
        <f t="shared" si="49"/>
        <v/>
      </c>
    </row>
    <row r="626" spans="1:13" x14ac:dyDescent="0.2">
      <c r="A626" s="35"/>
      <c r="B626" s="21"/>
      <c r="C626" s="18"/>
      <c r="D626" s="20"/>
      <c r="E626" s="20"/>
      <c r="F626" s="21"/>
      <c r="G626" s="21"/>
      <c r="H626" s="18"/>
      <c r="I626" s="30" t="str">
        <f t="shared" si="45"/>
        <v/>
      </c>
      <c r="J626" s="38" t="str">
        <f t="shared" si="46"/>
        <v/>
      </c>
      <c r="K626" s="30" t="str">
        <f t="shared" si="47"/>
        <v/>
      </c>
      <c r="L626" s="30" t="str">
        <f t="shared" si="48"/>
        <v/>
      </c>
      <c r="M626" s="30" t="str">
        <f t="shared" si="49"/>
        <v/>
      </c>
    </row>
    <row r="627" spans="1:13" x14ac:dyDescent="0.2">
      <c r="A627" s="35"/>
      <c r="B627" s="21"/>
      <c r="C627" s="18"/>
      <c r="D627" s="20"/>
      <c r="E627" s="20"/>
      <c r="F627" s="21"/>
      <c r="G627" s="21"/>
      <c r="H627" s="18"/>
      <c r="I627" s="30" t="str">
        <f t="shared" si="45"/>
        <v/>
      </c>
      <c r="J627" s="38" t="str">
        <f t="shared" si="46"/>
        <v/>
      </c>
      <c r="K627" s="30" t="str">
        <f t="shared" si="47"/>
        <v/>
      </c>
      <c r="L627" s="30" t="str">
        <f t="shared" si="48"/>
        <v/>
      </c>
      <c r="M627" s="30" t="str">
        <f t="shared" si="49"/>
        <v/>
      </c>
    </row>
    <row r="628" spans="1:13" x14ac:dyDescent="0.2">
      <c r="A628" s="35"/>
      <c r="B628" s="21"/>
      <c r="C628" s="18"/>
      <c r="D628" s="20"/>
      <c r="E628" s="20"/>
      <c r="F628" s="21"/>
      <c r="G628" s="21"/>
      <c r="H628" s="18"/>
      <c r="I628" s="30" t="str">
        <f t="shared" si="45"/>
        <v/>
      </c>
      <c r="J628" s="38" t="str">
        <f t="shared" si="46"/>
        <v/>
      </c>
      <c r="K628" s="30" t="str">
        <f t="shared" si="47"/>
        <v/>
      </c>
      <c r="L628" s="30" t="str">
        <f t="shared" si="48"/>
        <v/>
      </c>
      <c r="M628" s="30" t="str">
        <f t="shared" si="49"/>
        <v/>
      </c>
    </row>
    <row r="629" spans="1:13" x14ac:dyDescent="0.2">
      <c r="A629" s="35"/>
      <c r="B629" s="21"/>
      <c r="C629" s="18"/>
      <c r="D629" s="20"/>
      <c r="E629" s="20"/>
      <c r="F629" s="21"/>
      <c r="G629" s="21"/>
      <c r="H629" s="18"/>
      <c r="I629" s="30" t="str">
        <f t="shared" si="45"/>
        <v/>
      </c>
      <c r="J629" s="38" t="str">
        <f t="shared" si="46"/>
        <v/>
      </c>
      <c r="K629" s="30" t="str">
        <f t="shared" si="47"/>
        <v/>
      </c>
      <c r="L629" s="30" t="str">
        <f t="shared" si="48"/>
        <v/>
      </c>
      <c r="M629" s="30" t="str">
        <f t="shared" si="49"/>
        <v/>
      </c>
    </row>
    <row r="630" spans="1:13" x14ac:dyDescent="0.2">
      <c r="A630" s="35"/>
      <c r="B630" s="21"/>
      <c r="C630" s="18"/>
      <c r="D630" s="20"/>
      <c r="E630" s="20"/>
      <c r="F630" s="21"/>
      <c r="G630" s="21"/>
      <c r="H630" s="18"/>
      <c r="I630" s="30" t="str">
        <f t="shared" si="45"/>
        <v/>
      </c>
      <c r="J630" s="38" t="str">
        <f t="shared" si="46"/>
        <v/>
      </c>
      <c r="K630" s="30" t="str">
        <f t="shared" si="47"/>
        <v/>
      </c>
      <c r="L630" s="30" t="str">
        <f t="shared" si="48"/>
        <v/>
      </c>
      <c r="M630" s="30" t="str">
        <f t="shared" si="49"/>
        <v/>
      </c>
    </row>
    <row r="631" spans="1:13" x14ac:dyDescent="0.2">
      <c r="A631" s="35"/>
      <c r="B631" s="21"/>
      <c r="C631" s="18"/>
      <c r="D631" s="20"/>
      <c r="E631" s="20"/>
      <c r="F631" s="21"/>
      <c r="G631" s="21"/>
      <c r="H631" s="18"/>
      <c r="I631" s="30" t="str">
        <f t="shared" si="45"/>
        <v/>
      </c>
      <c r="J631" s="38" t="str">
        <f t="shared" si="46"/>
        <v/>
      </c>
      <c r="K631" s="30" t="str">
        <f t="shared" si="47"/>
        <v/>
      </c>
      <c r="L631" s="30" t="str">
        <f t="shared" si="48"/>
        <v/>
      </c>
      <c r="M631" s="30" t="str">
        <f t="shared" si="49"/>
        <v/>
      </c>
    </row>
    <row r="632" spans="1:13" x14ac:dyDescent="0.2">
      <c r="A632" s="35"/>
      <c r="B632" s="21"/>
      <c r="C632" s="18"/>
      <c r="D632" s="20"/>
      <c r="E632" s="20"/>
      <c r="F632" s="21"/>
      <c r="G632" s="21"/>
      <c r="H632" s="18"/>
      <c r="I632" s="30" t="str">
        <f t="shared" si="45"/>
        <v/>
      </c>
      <c r="J632" s="38" t="str">
        <f t="shared" si="46"/>
        <v/>
      </c>
      <c r="K632" s="30" t="str">
        <f t="shared" si="47"/>
        <v/>
      </c>
      <c r="L632" s="30" t="str">
        <f t="shared" si="48"/>
        <v/>
      </c>
      <c r="M632" s="30" t="str">
        <f t="shared" si="49"/>
        <v/>
      </c>
    </row>
    <row r="633" spans="1:13" x14ac:dyDescent="0.2">
      <c r="A633" s="35"/>
      <c r="B633" s="21"/>
      <c r="C633" s="18"/>
      <c r="D633" s="20"/>
      <c r="E633" s="20"/>
      <c r="F633" s="21"/>
      <c r="G633" s="21"/>
      <c r="H633" s="18"/>
      <c r="I633" s="30" t="str">
        <f t="shared" si="45"/>
        <v/>
      </c>
      <c r="J633" s="38" t="str">
        <f t="shared" si="46"/>
        <v/>
      </c>
      <c r="K633" s="30" t="str">
        <f t="shared" si="47"/>
        <v/>
      </c>
      <c r="L633" s="30" t="str">
        <f t="shared" si="48"/>
        <v/>
      </c>
      <c r="M633" s="30" t="str">
        <f t="shared" si="49"/>
        <v/>
      </c>
    </row>
    <row r="634" spans="1:13" x14ac:dyDescent="0.2">
      <c r="A634" s="35"/>
      <c r="B634" s="21"/>
      <c r="C634" s="18"/>
      <c r="D634" s="20"/>
      <c r="E634" s="20"/>
      <c r="F634" s="21"/>
      <c r="G634" s="21"/>
      <c r="H634" s="18"/>
      <c r="I634" s="30" t="str">
        <f t="shared" si="45"/>
        <v/>
      </c>
      <c r="J634" s="38" t="str">
        <f t="shared" si="46"/>
        <v/>
      </c>
      <c r="K634" s="30" t="str">
        <f t="shared" si="47"/>
        <v/>
      </c>
      <c r="L634" s="30" t="str">
        <f t="shared" si="48"/>
        <v/>
      </c>
      <c r="M634" s="30" t="str">
        <f t="shared" si="49"/>
        <v/>
      </c>
    </row>
    <row r="635" spans="1:13" x14ac:dyDescent="0.2">
      <c r="A635" s="35"/>
      <c r="B635" s="21"/>
      <c r="C635" s="18"/>
      <c r="D635" s="20"/>
      <c r="E635" s="20"/>
      <c r="F635" s="21"/>
      <c r="G635" s="21"/>
      <c r="H635" s="18"/>
      <c r="I635" s="30" t="str">
        <f t="shared" si="45"/>
        <v/>
      </c>
      <c r="J635" s="38" t="str">
        <f t="shared" si="46"/>
        <v/>
      </c>
      <c r="K635" s="30" t="str">
        <f t="shared" si="47"/>
        <v/>
      </c>
      <c r="L635" s="30" t="str">
        <f t="shared" si="48"/>
        <v/>
      </c>
      <c r="M635" s="30" t="str">
        <f t="shared" si="49"/>
        <v/>
      </c>
    </row>
    <row r="636" spans="1:13" x14ac:dyDescent="0.2">
      <c r="A636" s="35"/>
      <c r="B636" s="21"/>
      <c r="C636" s="18"/>
      <c r="D636" s="20"/>
      <c r="E636" s="20"/>
      <c r="F636" s="21"/>
      <c r="G636" s="21"/>
      <c r="H636" s="18"/>
      <c r="I636" s="30" t="str">
        <f t="shared" si="45"/>
        <v/>
      </c>
      <c r="J636" s="38" t="str">
        <f t="shared" si="46"/>
        <v/>
      </c>
      <c r="K636" s="30" t="str">
        <f t="shared" si="47"/>
        <v/>
      </c>
      <c r="L636" s="30" t="str">
        <f t="shared" si="48"/>
        <v/>
      </c>
      <c r="M636" s="30" t="str">
        <f t="shared" si="49"/>
        <v/>
      </c>
    </row>
    <row r="637" spans="1:13" x14ac:dyDescent="0.2">
      <c r="A637" s="35"/>
      <c r="B637" s="21"/>
      <c r="C637" s="18"/>
      <c r="D637" s="20"/>
      <c r="E637" s="20"/>
      <c r="F637" s="21"/>
      <c r="G637" s="21"/>
      <c r="H637" s="18"/>
      <c r="I637" s="30" t="str">
        <f t="shared" si="45"/>
        <v/>
      </c>
      <c r="J637" s="38" t="str">
        <f t="shared" si="46"/>
        <v/>
      </c>
      <c r="K637" s="30" t="str">
        <f t="shared" si="47"/>
        <v/>
      </c>
      <c r="L637" s="30" t="str">
        <f t="shared" si="48"/>
        <v/>
      </c>
      <c r="M637" s="30" t="str">
        <f t="shared" si="49"/>
        <v/>
      </c>
    </row>
    <row r="638" spans="1:13" x14ac:dyDescent="0.2">
      <c r="A638" s="35"/>
      <c r="B638" s="21"/>
      <c r="C638" s="18"/>
      <c r="D638" s="20"/>
      <c r="E638" s="20"/>
      <c r="F638" s="21"/>
      <c r="G638" s="21"/>
      <c r="H638" s="18"/>
      <c r="I638" s="30" t="str">
        <f t="shared" si="45"/>
        <v/>
      </c>
      <c r="J638" s="38" t="str">
        <f t="shared" si="46"/>
        <v/>
      </c>
      <c r="K638" s="30" t="str">
        <f t="shared" si="47"/>
        <v/>
      </c>
      <c r="L638" s="30" t="str">
        <f t="shared" si="48"/>
        <v/>
      </c>
      <c r="M638" s="30" t="str">
        <f t="shared" si="49"/>
        <v/>
      </c>
    </row>
    <row r="639" spans="1:13" x14ac:dyDescent="0.2">
      <c r="A639" s="35"/>
      <c r="B639" s="21"/>
      <c r="C639" s="18"/>
      <c r="D639" s="20"/>
      <c r="E639" s="20"/>
      <c r="F639" s="21"/>
      <c r="G639" s="21"/>
      <c r="H639" s="18"/>
      <c r="I639" s="30" t="str">
        <f t="shared" si="45"/>
        <v/>
      </c>
      <c r="J639" s="38" t="str">
        <f t="shared" si="46"/>
        <v/>
      </c>
      <c r="K639" s="30" t="str">
        <f t="shared" si="47"/>
        <v/>
      </c>
      <c r="L639" s="30" t="str">
        <f t="shared" si="48"/>
        <v/>
      </c>
      <c r="M639" s="30" t="str">
        <f t="shared" si="49"/>
        <v/>
      </c>
    </row>
    <row r="640" spans="1:13" x14ac:dyDescent="0.2">
      <c r="A640" s="35"/>
      <c r="B640" s="21"/>
      <c r="C640" s="18"/>
      <c r="D640" s="20"/>
      <c r="E640" s="20"/>
      <c r="F640" s="21"/>
      <c r="G640" s="21"/>
      <c r="H640" s="18"/>
      <c r="I640" s="30" t="str">
        <f t="shared" si="45"/>
        <v/>
      </c>
      <c r="J640" s="38" t="str">
        <f t="shared" si="46"/>
        <v/>
      </c>
      <c r="K640" s="30" t="str">
        <f t="shared" si="47"/>
        <v/>
      </c>
      <c r="L640" s="30" t="str">
        <f t="shared" si="48"/>
        <v/>
      </c>
      <c r="M640" s="30" t="str">
        <f t="shared" si="49"/>
        <v/>
      </c>
    </row>
    <row r="641" spans="1:13" x14ac:dyDescent="0.2">
      <c r="A641" s="35"/>
      <c r="B641" s="21"/>
      <c r="C641" s="18"/>
      <c r="D641" s="20"/>
      <c r="E641" s="20"/>
      <c r="F641" s="21"/>
      <c r="G641" s="21"/>
      <c r="H641" s="18"/>
      <c r="I641" s="30" t="str">
        <f t="shared" si="45"/>
        <v/>
      </c>
      <c r="J641" s="38" t="str">
        <f t="shared" si="46"/>
        <v/>
      </c>
      <c r="K641" s="30" t="str">
        <f t="shared" si="47"/>
        <v/>
      </c>
      <c r="L641" s="30" t="str">
        <f t="shared" si="48"/>
        <v/>
      </c>
      <c r="M641" s="30" t="str">
        <f t="shared" si="49"/>
        <v/>
      </c>
    </row>
    <row r="642" spans="1:13" x14ac:dyDescent="0.2">
      <c r="A642" s="35"/>
      <c r="B642" s="21"/>
      <c r="C642" s="18"/>
      <c r="D642" s="20"/>
      <c r="E642" s="20"/>
      <c r="F642" s="21"/>
      <c r="G642" s="21"/>
      <c r="H642" s="18"/>
      <c r="I642" s="30" t="str">
        <f t="shared" si="45"/>
        <v/>
      </c>
      <c r="J642" s="38" t="str">
        <f t="shared" si="46"/>
        <v/>
      </c>
      <c r="K642" s="30" t="str">
        <f t="shared" si="47"/>
        <v/>
      </c>
      <c r="L642" s="30" t="str">
        <f t="shared" si="48"/>
        <v/>
      </c>
      <c r="M642" s="30" t="str">
        <f t="shared" si="49"/>
        <v/>
      </c>
    </row>
    <row r="643" spans="1:13" x14ac:dyDescent="0.2">
      <c r="A643" s="35"/>
      <c r="B643" s="21"/>
      <c r="C643" s="18"/>
      <c r="D643" s="20"/>
      <c r="E643" s="20"/>
      <c r="F643" s="21"/>
      <c r="G643" s="21"/>
      <c r="H643" s="18"/>
      <c r="I643" s="30" t="str">
        <f t="shared" si="45"/>
        <v/>
      </c>
      <c r="J643" s="38" t="str">
        <f t="shared" si="46"/>
        <v/>
      </c>
      <c r="K643" s="30" t="str">
        <f t="shared" si="47"/>
        <v/>
      </c>
      <c r="L643" s="30" t="str">
        <f t="shared" si="48"/>
        <v/>
      </c>
      <c r="M643" s="30" t="str">
        <f t="shared" si="49"/>
        <v/>
      </c>
    </row>
    <row r="644" spans="1:13" x14ac:dyDescent="0.2">
      <c r="A644" s="35"/>
      <c r="B644" s="21"/>
      <c r="C644" s="18"/>
      <c r="D644" s="20"/>
      <c r="E644" s="20"/>
      <c r="F644" s="21"/>
      <c r="G644" s="21"/>
      <c r="H644" s="18"/>
      <c r="I644" s="30" t="str">
        <f t="shared" si="45"/>
        <v/>
      </c>
      <c r="J644" s="38" t="str">
        <f t="shared" si="46"/>
        <v/>
      </c>
      <c r="K644" s="30" t="str">
        <f t="shared" si="47"/>
        <v/>
      </c>
      <c r="L644" s="30" t="str">
        <f t="shared" si="48"/>
        <v/>
      </c>
      <c r="M644" s="30" t="str">
        <f t="shared" si="49"/>
        <v/>
      </c>
    </row>
    <row r="645" spans="1:13" x14ac:dyDescent="0.2">
      <c r="A645" s="35"/>
      <c r="B645" s="21"/>
      <c r="C645" s="18"/>
      <c r="D645" s="20"/>
      <c r="E645" s="20"/>
      <c r="F645" s="21"/>
      <c r="G645" s="21"/>
      <c r="H645" s="18"/>
      <c r="I645" s="30" t="str">
        <f t="shared" si="45"/>
        <v/>
      </c>
      <c r="J645" s="38" t="str">
        <f t="shared" si="46"/>
        <v/>
      </c>
      <c r="K645" s="30" t="str">
        <f t="shared" si="47"/>
        <v/>
      </c>
      <c r="L645" s="30" t="str">
        <f t="shared" si="48"/>
        <v/>
      </c>
      <c r="M645" s="30" t="str">
        <f t="shared" si="49"/>
        <v/>
      </c>
    </row>
    <row r="646" spans="1:13" x14ac:dyDescent="0.2">
      <c r="A646" s="35"/>
      <c r="B646" s="21"/>
      <c r="C646" s="18"/>
      <c r="D646" s="20"/>
      <c r="E646" s="20"/>
      <c r="F646" s="21"/>
      <c r="G646" s="21"/>
      <c r="H646" s="18"/>
      <c r="I646" s="30" t="str">
        <f t="shared" ref="I646:I709" si="50">IF(OR(D646="",E646=""),"",ROUND(MOD(E646-D646,1)*1440,0))</f>
        <v/>
      </c>
      <c r="J646" s="38" t="str">
        <f t="shared" ref="J646:J709" si="51">IF(F646="","",IFERROR(INDEX(LYDO_TEN,MATCH(F646,DS_LYDO,0)),"?"))</f>
        <v/>
      </c>
      <c r="K646" s="30" t="str">
        <f t="shared" ref="K646:K709" si="52">IF(F646="","",IFERROR(INDEX(LYDO_LOAI,MATCH(F646,DS_LYDO,0)),"?"))</f>
        <v/>
      </c>
      <c r="L646" s="30" t="str">
        <f t="shared" ref="L646:L709" si="53">IF(F646="","",IFERROR(INDEX(LYDO_BP,MATCH(F646,DS_LYDO,0)),"?"))</f>
        <v/>
      </c>
      <c r="M646" s="30" t="str">
        <f t="shared" ref="M646:M709" si="54">IF(I646="","",IF(MOD(I646,5)=0,1,0))</f>
        <v/>
      </c>
    </row>
    <row r="647" spans="1:13" x14ac:dyDescent="0.2">
      <c r="A647" s="35"/>
      <c r="B647" s="21"/>
      <c r="C647" s="18"/>
      <c r="D647" s="20"/>
      <c r="E647" s="20"/>
      <c r="F647" s="21"/>
      <c r="G647" s="21"/>
      <c r="H647" s="18"/>
      <c r="I647" s="30" t="str">
        <f t="shared" si="50"/>
        <v/>
      </c>
      <c r="J647" s="38" t="str">
        <f t="shared" si="51"/>
        <v/>
      </c>
      <c r="K647" s="30" t="str">
        <f t="shared" si="52"/>
        <v/>
      </c>
      <c r="L647" s="30" t="str">
        <f t="shared" si="53"/>
        <v/>
      </c>
      <c r="M647" s="30" t="str">
        <f t="shared" si="54"/>
        <v/>
      </c>
    </row>
    <row r="648" spans="1:13" x14ac:dyDescent="0.2">
      <c r="A648" s="35"/>
      <c r="B648" s="21"/>
      <c r="C648" s="18"/>
      <c r="D648" s="20"/>
      <c r="E648" s="20"/>
      <c r="F648" s="21"/>
      <c r="G648" s="21"/>
      <c r="H648" s="18"/>
      <c r="I648" s="30" t="str">
        <f t="shared" si="50"/>
        <v/>
      </c>
      <c r="J648" s="38" t="str">
        <f t="shared" si="51"/>
        <v/>
      </c>
      <c r="K648" s="30" t="str">
        <f t="shared" si="52"/>
        <v/>
      </c>
      <c r="L648" s="30" t="str">
        <f t="shared" si="53"/>
        <v/>
      </c>
      <c r="M648" s="30" t="str">
        <f t="shared" si="54"/>
        <v/>
      </c>
    </row>
    <row r="649" spans="1:13" x14ac:dyDescent="0.2">
      <c r="A649" s="35"/>
      <c r="B649" s="21"/>
      <c r="C649" s="18"/>
      <c r="D649" s="20"/>
      <c r="E649" s="20"/>
      <c r="F649" s="21"/>
      <c r="G649" s="21"/>
      <c r="H649" s="18"/>
      <c r="I649" s="30" t="str">
        <f t="shared" si="50"/>
        <v/>
      </c>
      <c r="J649" s="38" t="str">
        <f t="shared" si="51"/>
        <v/>
      </c>
      <c r="K649" s="30" t="str">
        <f t="shared" si="52"/>
        <v/>
      </c>
      <c r="L649" s="30" t="str">
        <f t="shared" si="53"/>
        <v/>
      </c>
      <c r="M649" s="30" t="str">
        <f t="shared" si="54"/>
        <v/>
      </c>
    </row>
    <row r="650" spans="1:13" x14ac:dyDescent="0.2">
      <c r="A650" s="35"/>
      <c r="B650" s="21"/>
      <c r="C650" s="18"/>
      <c r="D650" s="20"/>
      <c r="E650" s="20"/>
      <c r="F650" s="21"/>
      <c r="G650" s="21"/>
      <c r="H650" s="18"/>
      <c r="I650" s="30" t="str">
        <f t="shared" si="50"/>
        <v/>
      </c>
      <c r="J650" s="38" t="str">
        <f t="shared" si="51"/>
        <v/>
      </c>
      <c r="K650" s="30" t="str">
        <f t="shared" si="52"/>
        <v/>
      </c>
      <c r="L650" s="30" t="str">
        <f t="shared" si="53"/>
        <v/>
      </c>
      <c r="M650" s="30" t="str">
        <f t="shared" si="54"/>
        <v/>
      </c>
    </row>
    <row r="651" spans="1:13" x14ac:dyDescent="0.2">
      <c r="A651" s="35"/>
      <c r="B651" s="21"/>
      <c r="C651" s="18"/>
      <c r="D651" s="20"/>
      <c r="E651" s="20"/>
      <c r="F651" s="21"/>
      <c r="G651" s="21"/>
      <c r="H651" s="18"/>
      <c r="I651" s="30" t="str">
        <f t="shared" si="50"/>
        <v/>
      </c>
      <c r="J651" s="38" t="str">
        <f t="shared" si="51"/>
        <v/>
      </c>
      <c r="K651" s="30" t="str">
        <f t="shared" si="52"/>
        <v/>
      </c>
      <c r="L651" s="30" t="str">
        <f t="shared" si="53"/>
        <v/>
      </c>
      <c r="M651" s="30" t="str">
        <f t="shared" si="54"/>
        <v/>
      </c>
    </row>
    <row r="652" spans="1:13" x14ac:dyDescent="0.2">
      <c r="A652" s="35"/>
      <c r="B652" s="21"/>
      <c r="C652" s="18"/>
      <c r="D652" s="20"/>
      <c r="E652" s="20"/>
      <c r="F652" s="21"/>
      <c r="G652" s="21"/>
      <c r="H652" s="18"/>
      <c r="I652" s="30" t="str">
        <f t="shared" si="50"/>
        <v/>
      </c>
      <c r="J652" s="38" t="str">
        <f t="shared" si="51"/>
        <v/>
      </c>
      <c r="K652" s="30" t="str">
        <f t="shared" si="52"/>
        <v/>
      </c>
      <c r="L652" s="30" t="str">
        <f t="shared" si="53"/>
        <v/>
      </c>
      <c r="M652" s="30" t="str">
        <f t="shared" si="54"/>
        <v/>
      </c>
    </row>
    <row r="653" spans="1:13" x14ac:dyDescent="0.2">
      <c r="A653" s="35"/>
      <c r="B653" s="21"/>
      <c r="C653" s="18"/>
      <c r="D653" s="20"/>
      <c r="E653" s="20"/>
      <c r="F653" s="21"/>
      <c r="G653" s="21"/>
      <c r="H653" s="18"/>
      <c r="I653" s="30" t="str">
        <f t="shared" si="50"/>
        <v/>
      </c>
      <c r="J653" s="38" t="str">
        <f t="shared" si="51"/>
        <v/>
      </c>
      <c r="K653" s="30" t="str">
        <f t="shared" si="52"/>
        <v/>
      </c>
      <c r="L653" s="30" t="str">
        <f t="shared" si="53"/>
        <v/>
      </c>
      <c r="M653" s="30" t="str">
        <f t="shared" si="54"/>
        <v/>
      </c>
    </row>
    <row r="654" spans="1:13" x14ac:dyDescent="0.2">
      <c r="A654" s="35"/>
      <c r="B654" s="21"/>
      <c r="C654" s="18"/>
      <c r="D654" s="20"/>
      <c r="E654" s="20"/>
      <c r="F654" s="21"/>
      <c r="G654" s="21"/>
      <c r="H654" s="18"/>
      <c r="I654" s="30" t="str">
        <f t="shared" si="50"/>
        <v/>
      </c>
      <c r="J654" s="38" t="str">
        <f t="shared" si="51"/>
        <v/>
      </c>
      <c r="K654" s="30" t="str">
        <f t="shared" si="52"/>
        <v/>
      </c>
      <c r="L654" s="30" t="str">
        <f t="shared" si="53"/>
        <v/>
      </c>
      <c r="M654" s="30" t="str">
        <f t="shared" si="54"/>
        <v/>
      </c>
    </row>
    <row r="655" spans="1:13" x14ac:dyDescent="0.2">
      <c r="A655" s="35"/>
      <c r="B655" s="21"/>
      <c r="C655" s="18"/>
      <c r="D655" s="20"/>
      <c r="E655" s="20"/>
      <c r="F655" s="21"/>
      <c r="G655" s="21"/>
      <c r="H655" s="18"/>
      <c r="I655" s="30" t="str">
        <f t="shared" si="50"/>
        <v/>
      </c>
      <c r="J655" s="38" t="str">
        <f t="shared" si="51"/>
        <v/>
      </c>
      <c r="K655" s="30" t="str">
        <f t="shared" si="52"/>
        <v/>
      </c>
      <c r="L655" s="30" t="str">
        <f t="shared" si="53"/>
        <v/>
      </c>
      <c r="M655" s="30" t="str">
        <f t="shared" si="54"/>
        <v/>
      </c>
    </row>
    <row r="656" spans="1:13" x14ac:dyDescent="0.2">
      <c r="A656" s="35"/>
      <c r="B656" s="21"/>
      <c r="C656" s="18"/>
      <c r="D656" s="20"/>
      <c r="E656" s="20"/>
      <c r="F656" s="21"/>
      <c r="G656" s="21"/>
      <c r="H656" s="18"/>
      <c r="I656" s="30" t="str">
        <f t="shared" si="50"/>
        <v/>
      </c>
      <c r="J656" s="38" t="str">
        <f t="shared" si="51"/>
        <v/>
      </c>
      <c r="K656" s="30" t="str">
        <f t="shared" si="52"/>
        <v/>
      </c>
      <c r="L656" s="30" t="str">
        <f t="shared" si="53"/>
        <v/>
      </c>
      <c r="M656" s="30" t="str">
        <f t="shared" si="54"/>
        <v/>
      </c>
    </row>
    <row r="657" spans="1:13" x14ac:dyDescent="0.2">
      <c r="A657" s="35"/>
      <c r="B657" s="21"/>
      <c r="C657" s="18"/>
      <c r="D657" s="20"/>
      <c r="E657" s="20"/>
      <c r="F657" s="21"/>
      <c r="G657" s="21"/>
      <c r="H657" s="18"/>
      <c r="I657" s="30" t="str">
        <f t="shared" si="50"/>
        <v/>
      </c>
      <c r="J657" s="38" t="str">
        <f t="shared" si="51"/>
        <v/>
      </c>
      <c r="K657" s="30" t="str">
        <f t="shared" si="52"/>
        <v/>
      </c>
      <c r="L657" s="30" t="str">
        <f t="shared" si="53"/>
        <v/>
      </c>
      <c r="M657" s="30" t="str">
        <f t="shared" si="54"/>
        <v/>
      </c>
    </row>
    <row r="658" spans="1:13" x14ac:dyDescent="0.2">
      <c r="A658" s="35"/>
      <c r="B658" s="21"/>
      <c r="C658" s="18"/>
      <c r="D658" s="20"/>
      <c r="E658" s="20"/>
      <c r="F658" s="21"/>
      <c r="G658" s="21"/>
      <c r="H658" s="18"/>
      <c r="I658" s="30" t="str">
        <f t="shared" si="50"/>
        <v/>
      </c>
      <c r="J658" s="38" t="str">
        <f t="shared" si="51"/>
        <v/>
      </c>
      <c r="K658" s="30" t="str">
        <f t="shared" si="52"/>
        <v/>
      </c>
      <c r="L658" s="30" t="str">
        <f t="shared" si="53"/>
        <v/>
      </c>
      <c r="M658" s="30" t="str">
        <f t="shared" si="54"/>
        <v/>
      </c>
    </row>
    <row r="659" spans="1:13" x14ac:dyDescent="0.2">
      <c r="A659" s="35"/>
      <c r="B659" s="21"/>
      <c r="C659" s="18"/>
      <c r="D659" s="20"/>
      <c r="E659" s="20"/>
      <c r="F659" s="21"/>
      <c r="G659" s="21"/>
      <c r="H659" s="18"/>
      <c r="I659" s="30" t="str">
        <f t="shared" si="50"/>
        <v/>
      </c>
      <c r="J659" s="38" t="str">
        <f t="shared" si="51"/>
        <v/>
      </c>
      <c r="K659" s="30" t="str">
        <f t="shared" si="52"/>
        <v/>
      </c>
      <c r="L659" s="30" t="str">
        <f t="shared" si="53"/>
        <v/>
      </c>
      <c r="M659" s="30" t="str">
        <f t="shared" si="54"/>
        <v/>
      </c>
    </row>
    <row r="660" spans="1:13" x14ac:dyDescent="0.2">
      <c r="A660" s="35"/>
      <c r="B660" s="21"/>
      <c r="C660" s="18"/>
      <c r="D660" s="20"/>
      <c r="E660" s="20"/>
      <c r="F660" s="21"/>
      <c r="G660" s="21"/>
      <c r="H660" s="18"/>
      <c r="I660" s="30" t="str">
        <f t="shared" si="50"/>
        <v/>
      </c>
      <c r="J660" s="38" t="str">
        <f t="shared" si="51"/>
        <v/>
      </c>
      <c r="K660" s="30" t="str">
        <f t="shared" si="52"/>
        <v/>
      </c>
      <c r="L660" s="30" t="str">
        <f t="shared" si="53"/>
        <v/>
      </c>
      <c r="M660" s="30" t="str">
        <f t="shared" si="54"/>
        <v/>
      </c>
    </row>
    <row r="661" spans="1:13" x14ac:dyDescent="0.2">
      <c r="A661" s="35"/>
      <c r="B661" s="21"/>
      <c r="C661" s="18"/>
      <c r="D661" s="20"/>
      <c r="E661" s="20"/>
      <c r="F661" s="21"/>
      <c r="G661" s="21"/>
      <c r="H661" s="18"/>
      <c r="I661" s="30" t="str">
        <f t="shared" si="50"/>
        <v/>
      </c>
      <c r="J661" s="38" t="str">
        <f t="shared" si="51"/>
        <v/>
      </c>
      <c r="K661" s="30" t="str">
        <f t="shared" si="52"/>
        <v/>
      </c>
      <c r="L661" s="30" t="str">
        <f t="shared" si="53"/>
        <v/>
      </c>
      <c r="M661" s="30" t="str">
        <f t="shared" si="54"/>
        <v/>
      </c>
    </row>
    <row r="662" spans="1:13" x14ac:dyDescent="0.2">
      <c r="A662" s="35"/>
      <c r="B662" s="21"/>
      <c r="C662" s="18"/>
      <c r="D662" s="20"/>
      <c r="E662" s="20"/>
      <c r="F662" s="21"/>
      <c r="G662" s="21"/>
      <c r="H662" s="18"/>
      <c r="I662" s="30" t="str">
        <f t="shared" si="50"/>
        <v/>
      </c>
      <c r="J662" s="38" t="str">
        <f t="shared" si="51"/>
        <v/>
      </c>
      <c r="K662" s="30" t="str">
        <f t="shared" si="52"/>
        <v/>
      </c>
      <c r="L662" s="30" t="str">
        <f t="shared" si="53"/>
        <v/>
      </c>
      <c r="M662" s="30" t="str">
        <f t="shared" si="54"/>
        <v/>
      </c>
    </row>
    <row r="663" spans="1:13" x14ac:dyDescent="0.2">
      <c r="A663" s="35"/>
      <c r="B663" s="21"/>
      <c r="C663" s="18"/>
      <c r="D663" s="20"/>
      <c r="E663" s="20"/>
      <c r="F663" s="21"/>
      <c r="G663" s="21"/>
      <c r="H663" s="18"/>
      <c r="I663" s="30" t="str">
        <f t="shared" si="50"/>
        <v/>
      </c>
      <c r="J663" s="38" t="str">
        <f t="shared" si="51"/>
        <v/>
      </c>
      <c r="K663" s="30" t="str">
        <f t="shared" si="52"/>
        <v/>
      </c>
      <c r="L663" s="30" t="str">
        <f t="shared" si="53"/>
        <v/>
      </c>
      <c r="M663" s="30" t="str">
        <f t="shared" si="54"/>
        <v/>
      </c>
    </row>
    <row r="664" spans="1:13" x14ac:dyDescent="0.2">
      <c r="A664" s="35"/>
      <c r="B664" s="21"/>
      <c r="C664" s="18"/>
      <c r="D664" s="20"/>
      <c r="E664" s="20"/>
      <c r="F664" s="21"/>
      <c r="G664" s="21"/>
      <c r="H664" s="18"/>
      <c r="I664" s="30" t="str">
        <f t="shared" si="50"/>
        <v/>
      </c>
      <c r="J664" s="38" t="str">
        <f t="shared" si="51"/>
        <v/>
      </c>
      <c r="K664" s="30" t="str">
        <f t="shared" si="52"/>
        <v/>
      </c>
      <c r="L664" s="30" t="str">
        <f t="shared" si="53"/>
        <v/>
      </c>
      <c r="M664" s="30" t="str">
        <f t="shared" si="54"/>
        <v/>
      </c>
    </row>
    <row r="665" spans="1:13" x14ac:dyDescent="0.2">
      <c r="A665" s="35"/>
      <c r="B665" s="21"/>
      <c r="C665" s="18"/>
      <c r="D665" s="20"/>
      <c r="E665" s="20"/>
      <c r="F665" s="21"/>
      <c r="G665" s="21"/>
      <c r="H665" s="18"/>
      <c r="I665" s="30" t="str">
        <f t="shared" si="50"/>
        <v/>
      </c>
      <c r="J665" s="38" t="str">
        <f t="shared" si="51"/>
        <v/>
      </c>
      <c r="K665" s="30" t="str">
        <f t="shared" si="52"/>
        <v/>
      </c>
      <c r="L665" s="30" t="str">
        <f t="shared" si="53"/>
        <v/>
      </c>
      <c r="M665" s="30" t="str">
        <f t="shared" si="54"/>
        <v/>
      </c>
    </row>
    <row r="666" spans="1:13" x14ac:dyDescent="0.2">
      <c r="A666" s="35"/>
      <c r="B666" s="21"/>
      <c r="C666" s="18"/>
      <c r="D666" s="20"/>
      <c r="E666" s="20"/>
      <c r="F666" s="21"/>
      <c r="G666" s="21"/>
      <c r="H666" s="18"/>
      <c r="I666" s="30" t="str">
        <f t="shared" si="50"/>
        <v/>
      </c>
      <c r="J666" s="38" t="str">
        <f t="shared" si="51"/>
        <v/>
      </c>
      <c r="K666" s="30" t="str">
        <f t="shared" si="52"/>
        <v/>
      </c>
      <c r="L666" s="30" t="str">
        <f t="shared" si="53"/>
        <v/>
      </c>
      <c r="M666" s="30" t="str">
        <f t="shared" si="54"/>
        <v/>
      </c>
    </row>
    <row r="667" spans="1:13" x14ac:dyDescent="0.2">
      <c r="A667" s="35"/>
      <c r="B667" s="21"/>
      <c r="C667" s="18"/>
      <c r="D667" s="20"/>
      <c r="E667" s="20"/>
      <c r="F667" s="21"/>
      <c r="G667" s="21"/>
      <c r="H667" s="18"/>
      <c r="I667" s="30" t="str">
        <f t="shared" si="50"/>
        <v/>
      </c>
      <c r="J667" s="38" t="str">
        <f t="shared" si="51"/>
        <v/>
      </c>
      <c r="K667" s="30" t="str">
        <f t="shared" si="52"/>
        <v/>
      </c>
      <c r="L667" s="30" t="str">
        <f t="shared" si="53"/>
        <v/>
      </c>
      <c r="M667" s="30" t="str">
        <f t="shared" si="54"/>
        <v/>
      </c>
    </row>
    <row r="668" spans="1:13" x14ac:dyDescent="0.2">
      <c r="A668" s="35"/>
      <c r="B668" s="21"/>
      <c r="C668" s="18"/>
      <c r="D668" s="20"/>
      <c r="E668" s="20"/>
      <c r="F668" s="21"/>
      <c r="G668" s="21"/>
      <c r="H668" s="18"/>
      <c r="I668" s="30" t="str">
        <f t="shared" si="50"/>
        <v/>
      </c>
      <c r="J668" s="38" t="str">
        <f t="shared" si="51"/>
        <v/>
      </c>
      <c r="K668" s="30" t="str">
        <f t="shared" si="52"/>
        <v/>
      </c>
      <c r="L668" s="30" t="str">
        <f t="shared" si="53"/>
        <v/>
      </c>
      <c r="M668" s="30" t="str">
        <f t="shared" si="54"/>
        <v/>
      </c>
    </row>
    <row r="669" spans="1:13" x14ac:dyDescent="0.2">
      <c r="A669" s="35"/>
      <c r="B669" s="21"/>
      <c r="C669" s="18"/>
      <c r="D669" s="20"/>
      <c r="E669" s="20"/>
      <c r="F669" s="21"/>
      <c r="G669" s="21"/>
      <c r="H669" s="18"/>
      <c r="I669" s="30" t="str">
        <f t="shared" si="50"/>
        <v/>
      </c>
      <c r="J669" s="38" t="str">
        <f t="shared" si="51"/>
        <v/>
      </c>
      <c r="K669" s="30" t="str">
        <f t="shared" si="52"/>
        <v/>
      </c>
      <c r="L669" s="30" t="str">
        <f t="shared" si="53"/>
        <v/>
      </c>
      <c r="M669" s="30" t="str">
        <f t="shared" si="54"/>
        <v/>
      </c>
    </row>
    <row r="670" spans="1:13" x14ac:dyDescent="0.2">
      <c r="A670" s="35"/>
      <c r="B670" s="21"/>
      <c r="C670" s="18"/>
      <c r="D670" s="20"/>
      <c r="E670" s="20"/>
      <c r="F670" s="21"/>
      <c r="G670" s="21"/>
      <c r="H670" s="18"/>
      <c r="I670" s="30" t="str">
        <f t="shared" si="50"/>
        <v/>
      </c>
      <c r="J670" s="38" t="str">
        <f t="shared" si="51"/>
        <v/>
      </c>
      <c r="K670" s="30" t="str">
        <f t="shared" si="52"/>
        <v/>
      </c>
      <c r="L670" s="30" t="str">
        <f t="shared" si="53"/>
        <v/>
      </c>
      <c r="M670" s="30" t="str">
        <f t="shared" si="54"/>
        <v/>
      </c>
    </row>
    <row r="671" spans="1:13" x14ac:dyDescent="0.2">
      <c r="A671" s="35"/>
      <c r="B671" s="21"/>
      <c r="C671" s="18"/>
      <c r="D671" s="20"/>
      <c r="E671" s="20"/>
      <c r="F671" s="21"/>
      <c r="G671" s="21"/>
      <c r="H671" s="18"/>
      <c r="I671" s="30" t="str">
        <f t="shared" si="50"/>
        <v/>
      </c>
      <c r="J671" s="38" t="str">
        <f t="shared" si="51"/>
        <v/>
      </c>
      <c r="K671" s="30" t="str">
        <f t="shared" si="52"/>
        <v/>
      </c>
      <c r="L671" s="30" t="str">
        <f t="shared" si="53"/>
        <v/>
      </c>
      <c r="M671" s="30" t="str">
        <f t="shared" si="54"/>
        <v/>
      </c>
    </row>
    <row r="672" spans="1:13" x14ac:dyDescent="0.2">
      <c r="A672" s="35"/>
      <c r="B672" s="21"/>
      <c r="C672" s="18"/>
      <c r="D672" s="20"/>
      <c r="E672" s="20"/>
      <c r="F672" s="21"/>
      <c r="G672" s="21"/>
      <c r="H672" s="18"/>
      <c r="I672" s="30" t="str">
        <f t="shared" si="50"/>
        <v/>
      </c>
      <c r="J672" s="38" t="str">
        <f t="shared" si="51"/>
        <v/>
      </c>
      <c r="K672" s="30" t="str">
        <f t="shared" si="52"/>
        <v/>
      </c>
      <c r="L672" s="30" t="str">
        <f t="shared" si="53"/>
        <v/>
      </c>
      <c r="M672" s="30" t="str">
        <f t="shared" si="54"/>
        <v/>
      </c>
    </row>
    <row r="673" spans="1:13" x14ac:dyDescent="0.2">
      <c r="A673" s="35"/>
      <c r="B673" s="21"/>
      <c r="C673" s="18"/>
      <c r="D673" s="20"/>
      <c r="E673" s="20"/>
      <c r="F673" s="21"/>
      <c r="G673" s="21"/>
      <c r="H673" s="18"/>
      <c r="I673" s="30" t="str">
        <f t="shared" si="50"/>
        <v/>
      </c>
      <c r="J673" s="38" t="str">
        <f t="shared" si="51"/>
        <v/>
      </c>
      <c r="K673" s="30" t="str">
        <f t="shared" si="52"/>
        <v/>
      </c>
      <c r="L673" s="30" t="str">
        <f t="shared" si="53"/>
        <v/>
      </c>
      <c r="M673" s="30" t="str">
        <f t="shared" si="54"/>
        <v/>
      </c>
    </row>
    <row r="674" spans="1:13" x14ac:dyDescent="0.2">
      <c r="A674" s="35"/>
      <c r="B674" s="21"/>
      <c r="C674" s="18"/>
      <c r="D674" s="20"/>
      <c r="E674" s="20"/>
      <c r="F674" s="21"/>
      <c r="G674" s="21"/>
      <c r="H674" s="18"/>
      <c r="I674" s="30" t="str">
        <f t="shared" si="50"/>
        <v/>
      </c>
      <c r="J674" s="38" t="str">
        <f t="shared" si="51"/>
        <v/>
      </c>
      <c r="K674" s="30" t="str">
        <f t="shared" si="52"/>
        <v/>
      </c>
      <c r="L674" s="30" t="str">
        <f t="shared" si="53"/>
        <v/>
      </c>
      <c r="M674" s="30" t="str">
        <f t="shared" si="54"/>
        <v/>
      </c>
    </row>
    <row r="675" spans="1:13" x14ac:dyDescent="0.2">
      <c r="A675" s="35"/>
      <c r="B675" s="21"/>
      <c r="C675" s="18"/>
      <c r="D675" s="20"/>
      <c r="E675" s="20"/>
      <c r="F675" s="21"/>
      <c r="G675" s="21"/>
      <c r="H675" s="18"/>
      <c r="I675" s="30" t="str">
        <f t="shared" si="50"/>
        <v/>
      </c>
      <c r="J675" s="38" t="str">
        <f t="shared" si="51"/>
        <v/>
      </c>
      <c r="K675" s="30" t="str">
        <f t="shared" si="52"/>
        <v/>
      </c>
      <c r="L675" s="30" t="str">
        <f t="shared" si="53"/>
        <v/>
      </c>
      <c r="M675" s="30" t="str">
        <f t="shared" si="54"/>
        <v/>
      </c>
    </row>
    <row r="676" spans="1:13" x14ac:dyDescent="0.2">
      <c r="A676" s="35"/>
      <c r="B676" s="21"/>
      <c r="C676" s="18"/>
      <c r="D676" s="20"/>
      <c r="E676" s="20"/>
      <c r="F676" s="21"/>
      <c r="G676" s="21"/>
      <c r="H676" s="18"/>
      <c r="I676" s="30" t="str">
        <f t="shared" si="50"/>
        <v/>
      </c>
      <c r="J676" s="38" t="str">
        <f t="shared" si="51"/>
        <v/>
      </c>
      <c r="K676" s="30" t="str">
        <f t="shared" si="52"/>
        <v/>
      </c>
      <c r="L676" s="30" t="str">
        <f t="shared" si="53"/>
        <v/>
      </c>
      <c r="M676" s="30" t="str">
        <f t="shared" si="54"/>
        <v/>
      </c>
    </row>
    <row r="677" spans="1:13" x14ac:dyDescent="0.2">
      <c r="A677" s="35"/>
      <c r="B677" s="21"/>
      <c r="C677" s="18"/>
      <c r="D677" s="20"/>
      <c r="E677" s="20"/>
      <c r="F677" s="21"/>
      <c r="G677" s="21"/>
      <c r="H677" s="18"/>
      <c r="I677" s="30" t="str">
        <f t="shared" si="50"/>
        <v/>
      </c>
      <c r="J677" s="38" t="str">
        <f t="shared" si="51"/>
        <v/>
      </c>
      <c r="K677" s="30" t="str">
        <f t="shared" si="52"/>
        <v/>
      </c>
      <c r="L677" s="30" t="str">
        <f t="shared" si="53"/>
        <v/>
      </c>
      <c r="M677" s="30" t="str">
        <f t="shared" si="54"/>
        <v/>
      </c>
    </row>
    <row r="678" spans="1:13" x14ac:dyDescent="0.2">
      <c r="A678" s="35"/>
      <c r="B678" s="21"/>
      <c r="C678" s="18"/>
      <c r="D678" s="20"/>
      <c r="E678" s="20"/>
      <c r="F678" s="21"/>
      <c r="G678" s="21"/>
      <c r="H678" s="18"/>
      <c r="I678" s="30" t="str">
        <f t="shared" si="50"/>
        <v/>
      </c>
      <c r="J678" s="38" t="str">
        <f t="shared" si="51"/>
        <v/>
      </c>
      <c r="K678" s="30" t="str">
        <f t="shared" si="52"/>
        <v/>
      </c>
      <c r="L678" s="30" t="str">
        <f t="shared" si="53"/>
        <v/>
      </c>
      <c r="M678" s="30" t="str">
        <f t="shared" si="54"/>
        <v/>
      </c>
    </row>
    <row r="679" spans="1:13" x14ac:dyDescent="0.2">
      <c r="A679" s="35"/>
      <c r="B679" s="21"/>
      <c r="C679" s="18"/>
      <c r="D679" s="20"/>
      <c r="E679" s="20"/>
      <c r="F679" s="21"/>
      <c r="G679" s="21"/>
      <c r="H679" s="18"/>
      <c r="I679" s="30" t="str">
        <f t="shared" si="50"/>
        <v/>
      </c>
      <c r="J679" s="38" t="str">
        <f t="shared" si="51"/>
        <v/>
      </c>
      <c r="K679" s="30" t="str">
        <f t="shared" si="52"/>
        <v/>
      </c>
      <c r="L679" s="30" t="str">
        <f t="shared" si="53"/>
        <v/>
      </c>
      <c r="M679" s="30" t="str">
        <f t="shared" si="54"/>
        <v/>
      </c>
    </row>
    <row r="680" spans="1:13" x14ac:dyDescent="0.2">
      <c r="A680" s="35"/>
      <c r="B680" s="21"/>
      <c r="C680" s="18"/>
      <c r="D680" s="20"/>
      <c r="E680" s="20"/>
      <c r="F680" s="21"/>
      <c r="G680" s="21"/>
      <c r="H680" s="18"/>
      <c r="I680" s="30" t="str">
        <f t="shared" si="50"/>
        <v/>
      </c>
      <c r="J680" s="38" t="str">
        <f t="shared" si="51"/>
        <v/>
      </c>
      <c r="K680" s="30" t="str">
        <f t="shared" si="52"/>
        <v/>
      </c>
      <c r="L680" s="30" t="str">
        <f t="shared" si="53"/>
        <v/>
      </c>
      <c r="M680" s="30" t="str">
        <f t="shared" si="54"/>
        <v/>
      </c>
    </row>
    <row r="681" spans="1:13" x14ac:dyDescent="0.2">
      <c r="A681" s="35"/>
      <c r="B681" s="21"/>
      <c r="C681" s="18"/>
      <c r="D681" s="20"/>
      <c r="E681" s="20"/>
      <c r="F681" s="21"/>
      <c r="G681" s="21"/>
      <c r="H681" s="18"/>
      <c r="I681" s="30" t="str">
        <f t="shared" si="50"/>
        <v/>
      </c>
      <c r="J681" s="38" t="str">
        <f t="shared" si="51"/>
        <v/>
      </c>
      <c r="K681" s="30" t="str">
        <f t="shared" si="52"/>
        <v/>
      </c>
      <c r="L681" s="30" t="str">
        <f t="shared" si="53"/>
        <v/>
      </c>
      <c r="M681" s="30" t="str">
        <f t="shared" si="54"/>
        <v/>
      </c>
    </row>
    <row r="682" spans="1:13" x14ac:dyDescent="0.2">
      <c r="A682" s="35"/>
      <c r="B682" s="21"/>
      <c r="C682" s="18"/>
      <c r="D682" s="20"/>
      <c r="E682" s="20"/>
      <c r="F682" s="21"/>
      <c r="G682" s="21"/>
      <c r="H682" s="18"/>
      <c r="I682" s="30" t="str">
        <f t="shared" si="50"/>
        <v/>
      </c>
      <c r="J682" s="38" t="str">
        <f t="shared" si="51"/>
        <v/>
      </c>
      <c r="K682" s="30" t="str">
        <f t="shared" si="52"/>
        <v/>
      </c>
      <c r="L682" s="30" t="str">
        <f t="shared" si="53"/>
        <v/>
      </c>
      <c r="M682" s="30" t="str">
        <f t="shared" si="54"/>
        <v/>
      </c>
    </row>
    <row r="683" spans="1:13" x14ac:dyDescent="0.2">
      <c r="A683" s="35"/>
      <c r="B683" s="21"/>
      <c r="C683" s="18"/>
      <c r="D683" s="20"/>
      <c r="E683" s="20"/>
      <c r="F683" s="21"/>
      <c r="G683" s="21"/>
      <c r="H683" s="18"/>
      <c r="I683" s="30" t="str">
        <f t="shared" si="50"/>
        <v/>
      </c>
      <c r="J683" s="38" t="str">
        <f t="shared" si="51"/>
        <v/>
      </c>
      <c r="K683" s="30" t="str">
        <f t="shared" si="52"/>
        <v/>
      </c>
      <c r="L683" s="30" t="str">
        <f t="shared" si="53"/>
        <v/>
      </c>
      <c r="M683" s="30" t="str">
        <f t="shared" si="54"/>
        <v/>
      </c>
    </row>
    <row r="684" spans="1:13" x14ac:dyDescent="0.2">
      <c r="A684" s="35"/>
      <c r="B684" s="21"/>
      <c r="C684" s="18"/>
      <c r="D684" s="20"/>
      <c r="E684" s="20"/>
      <c r="F684" s="21"/>
      <c r="G684" s="21"/>
      <c r="H684" s="18"/>
      <c r="I684" s="30" t="str">
        <f t="shared" si="50"/>
        <v/>
      </c>
      <c r="J684" s="38" t="str">
        <f t="shared" si="51"/>
        <v/>
      </c>
      <c r="K684" s="30" t="str">
        <f t="shared" si="52"/>
        <v/>
      </c>
      <c r="L684" s="30" t="str">
        <f t="shared" si="53"/>
        <v/>
      </c>
      <c r="M684" s="30" t="str">
        <f t="shared" si="54"/>
        <v/>
      </c>
    </row>
    <row r="685" spans="1:13" x14ac:dyDescent="0.2">
      <c r="A685" s="35"/>
      <c r="B685" s="21"/>
      <c r="C685" s="18"/>
      <c r="D685" s="20"/>
      <c r="E685" s="20"/>
      <c r="F685" s="21"/>
      <c r="G685" s="21"/>
      <c r="H685" s="18"/>
      <c r="I685" s="30" t="str">
        <f t="shared" si="50"/>
        <v/>
      </c>
      <c r="J685" s="38" t="str">
        <f t="shared" si="51"/>
        <v/>
      </c>
      <c r="K685" s="30" t="str">
        <f t="shared" si="52"/>
        <v/>
      </c>
      <c r="L685" s="30" t="str">
        <f t="shared" si="53"/>
        <v/>
      </c>
      <c r="M685" s="30" t="str">
        <f t="shared" si="54"/>
        <v/>
      </c>
    </row>
    <row r="686" spans="1:13" x14ac:dyDescent="0.2">
      <c r="A686" s="35"/>
      <c r="B686" s="21"/>
      <c r="C686" s="18"/>
      <c r="D686" s="20"/>
      <c r="E686" s="20"/>
      <c r="F686" s="21"/>
      <c r="G686" s="21"/>
      <c r="H686" s="18"/>
      <c r="I686" s="30" t="str">
        <f t="shared" si="50"/>
        <v/>
      </c>
      <c r="J686" s="38" t="str">
        <f t="shared" si="51"/>
        <v/>
      </c>
      <c r="K686" s="30" t="str">
        <f t="shared" si="52"/>
        <v/>
      </c>
      <c r="L686" s="30" t="str">
        <f t="shared" si="53"/>
        <v/>
      </c>
      <c r="M686" s="30" t="str">
        <f t="shared" si="54"/>
        <v/>
      </c>
    </row>
    <row r="687" spans="1:13" x14ac:dyDescent="0.2">
      <c r="A687" s="35"/>
      <c r="B687" s="21"/>
      <c r="C687" s="18"/>
      <c r="D687" s="20"/>
      <c r="E687" s="20"/>
      <c r="F687" s="21"/>
      <c r="G687" s="21"/>
      <c r="H687" s="18"/>
      <c r="I687" s="30" t="str">
        <f t="shared" si="50"/>
        <v/>
      </c>
      <c r="J687" s="38" t="str">
        <f t="shared" si="51"/>
        <v/>
      </c>
      <c r="K687" s="30" t="str">
        <f t="shared" si="52"/>
        <v/>
      </c>
      <c r="L687" s="30" t="str">
        <f t="shared" si="53"/>
        <v/>
      </c>
      <c r="M687" s="30" t="str">
        <f t="shared" si="54"/>
        <v/>
      </c>
    </row>
    <row r="688" spans="1:13" x14ac:dyDescent="0.2">
      <c r="A688" s="35"/>
      <c r="B688" s="21"/>
      <c r="C688" s="18"/>
      <c r="D688" s="20"/>
      <c r="E688" s="20"/>
      <c r="F688" s="21"/>
      <c r="G688" s="21"/>
      <c r="H688" s="18"/>
      <c r="I688" s="30" t="str">
        <f t="shared" si="50"/>
        <v/>
      </c>
      <c r="J688" s="38" t="str">
        <f t="shared" si="51"/>
        <v/>
      </c>
      <c r="K688" s="30" t="str">
        <f t="shared" si="52"/>
        <v/>
      </c>
      <c r="L688" s="30" t="str">
        <f t="shared" si="53"/>
        <v/>
      </c>
      <c r="M688" s="30" t="str">
        <f t="shared" si="54"/>
        <v/>
      </c>
    </row>
    <row r="689" spans="1:13" x14ac:dyDescent="0.2">
      <c r="A689" s="35"/>
      <c r="B689" s="21"/>
      <c r="C689" s="18"/>
      <c r="D689" s="20"/>
      <c r="E689" s="20"/>
      <c r="F689" s="21"/>
      <c r="G689" s="21"/>
      <c r="H689" s="18"/>
      <c r="I689" s="30" t="str">
        <f t="shared" si="50"/>
        <v/>
      </c>
      <c r="J689" s="38" t="str">
        <f t="shared" si="51"/>
        <v/>
      </c>
      <c r="K689" s="30" t="str">
        <f t="shared" si="52"/>
        <v/>
      </c>
      <c r="L689" s="30" t="str">
        <f t="shared" si="53"/>
        <v/>
      </c>
      <c r="M689" s="30" t="str">
        <f t="shared" si="54"/>
        <v/>
      </c>
    </row>
    <row r="690" spans="1:13" x14ac:dyDescent="0.2">
      <c r="A690" s="35"/>
      <c r="B690" s="21"/>
      <c r="C690" s="18"/>
      <c r="D690" s="20"/>
      <c r="E690" s="20"/>
      <c r="F690" s="21"/>
      <c r="G690" s="21"/>
      <c r="H690" s="18"/>
      <c r="I690" s="30" t="str">
        <f t="shared" si="50"/>
        <v/>
      </c>
      <c r="J690" s="38" t="str">
        <f t="shared" si="51"/>
        <v/>
      </c>
      <c r="K690" s="30" t="str">
        <f t="shared" si="52"/>
        <v/>
      </c>
      <c r="L690" s="30" t="str">
        <f t="shared" si="53"/>
        <v/>
      </c>
      <c r="M690" s="30" t="str">
        <f t="shared" si="54"/>
        <v/>
      </c>
    </row>
    <row r="691" spans="1:13" x14ac:dyDescent="0.2">
      <c r="A691" s="35"/>
      <c r="B691" s="21"/>
      <c r="C691" s="18"/>
      <c r="D691" s="20"/>
      <c r="E691" s="20"/>
      <c r="F691" s="21"/>
      <c r="G691" s="21"/>
      <c r="H691" s="18"/>
      <c r="I691" s="30" t="str">
        <f t="shared" si="50"/>
        <v/>
      </c>
      <c r="J691" s="38" t="str">
        <f t="shared" si="51"/>
        <v/>
      </c>
      <c r="K691" s="30" t="str">
        <f t="shared" si="52"/>
        <v/>
      </c>
      <c r="L691" s="30" t="str">
        <f t="shared" si="53"/>
        <v/>
      </c>
      <c r="M691" s="30" t="str">
        <f t="shared" si="54"/>
        <v/>
      </c>
    </row>
    <row r="692" spans="1:13" x14ac:dyDescent="0.2">
      <c r="A692" s="35"/>
      <c r="B692" s="21"/>
      <c r="C692" s="18"/>
      <c r="D692" s="20"/>
      <c r="E692" s="20"/>
      <c r="F692" s="21"/>
      <c r="G692" s="21"/>
      <c r="H692" s="18"/>
      <c r="I692" s="30" t="str">
        <f t="shared" si="50"/>
        <v/>
      </c>
      <c r="J692" s="38" t="str">
        <f t="shared" si="51"/>
        <v/>
      </c>
      <c r="K692" s="30" t="str">
        <f t="shared" si="52"/>
        <v/>
      </c>
      <c r="L692" s="30" t="str">
        <f t="shared" si="53"/>
        <v/>
      </c>
      <c r="M692" s="30" t="str">
        <f t="shared" si="54"/>
        <v/>
      </c>
    </row>
    <row r="693" spans="1:13" x14ac:dyDescent="0.2">
      <c r="A693" s="35"/>
      <c r="B693" s="21"/>
      <c r="C693" s="18"/>
      <c r="D693" s="20"/>
      <c r="E693" s="20"/>
      <c r="F693" s="21"/>
      <c r="G693" s="21"/>
      <c r="H693" s="18"/>
      <c r="I693" s="30" t="str">
        <f t="shared" si="50"/>
        <v/>
      </c>
      <c r="J693" s="38" t="str">
        <f t="shared" si="51"/>
        <v/>
      </c>
      <c r="K693" s="30" t="str">
        <f t="shared" si="52"/>
        <v/>
      </c>
      <c r="L693" s="30" t="str">
        <f t="shared" si="53"/>
        <v/>
      </c>
      <c r="M693" s="30" t="str">
        <f t="shared" si="54"/>
        <v/>
      </c>
    </row>
    <row r="694" spans="1:13" x14ac:dyDescent="0.2">
      <c r="A694" s="35"/>
      <c r="B694" s="21"/>
      <c r="C694" s="18"/>
      <c r="D694" s="20"/>
      <c r="E694" s="20"/>
      <c r="F694" s="21"/>
      <c r="G694" s="21"/>
      <c r="H694" s="18"/>
      <c r="I694" s="30" t="str">
        <f t="shared" si="50"/>
        <v/>
      </c>
      <c r="J694" s="38" t="str">
        <f t="shared" si="51"/>
        <v/>
      </c>
      <c r="K694" s="30" t="str">
        <f t="shared" si="52"/>
        <v/>
      </c>
      <c r="L694" s="30" t="str">
        <f t="shared" si="53"/>
        <v/>
      </c>
      <c r="M694" s="30" t="str">
        <f t="shared" si="54"/>
        <v/>
      </c>
    </row>
    <row r="695" spans="1:13" x14ac:dyDescent="0.2">
      <c r="A695" s="35"/>
      <c r="B695" s="21"/>
      <c r="C695" s="18"/>
      <c r="D695" s="20"/>
      <c r="E695" s="20"/>
      <c r="F695" s="21"/>
      <c r="G695" s="21"/>
      <c r="H695" s="18"/>
      <c r="I695" s="30" t="str">
        <f t="shared" si="50"/>
        <v/>
      </c>
      <c r="J695" s="38" t="str">
        <f t="shared" si="51"/>
        <v/>
      </c>
      <c r="K695" s="30" t="str">
        <f t="shared" si="52"/>
        <v/>
      </c>
      <c r="L695" s="30" t="str">
        <f t="shared" si="53"/>
        <v/>
      </c>
      <c r="M695" s="30" t="str">
        <f t="shared" si="54"/>
        <v/>
      </c>
    </row>
    <row r="696" spans="1:13" x14ac:dyDescent="0.2">
      <c r="A696" s="35"/>
      <c r="B696" s="21"/>
      <c r="C696" s="18"/>
      <c r="D696" s="20"/>
      <c r="E696" s="20"/>
      <c r="F696" s="21"/>
      <c r="G696" s="21"/>
      <c r="H696" s="18"/>
      <c r="I696" s="30" t="str">
        <f t="shared" si="50"/>
        <v/>
      </c>
      <c r="J696" s="38" t="str">
        <f t="shared" si="51"/>
        <v/>
      </c>
      <c r="K696" s="30" t="str">
        <f t="shared" si="52"/>
        <v/>
      </c>
      <c r="L696" s="30" t="str">
        <f t="shared" si="53"/>
        <v/>
      </c>
      <c r="M696" s="30" t="str">
        <f t="shared" si="54"/>
        <v/>
      </c>
    </row>
    <row r="697" spans="1:13" x14ac:dyDescent="0.2">
      <c r="A697" s="35"/>
      <c r="B697" s="21"/>
      <c r="C697" s="18"/>
      <c r="D697" s="20"/>
      <c r="E697" s="20"/>
      <c r="F697" s="21"/>
      <c r="G697" s="21"/>
      <c r="H697" s="18"/>
      <c r="I697" s="30" t="str">
        <f t="shared" si="50"/>
        <v/>
      </c>
      <c r="J697" s="38" t="str">
        <f t="shared" si="51"/>
        <v/>
      </c>
      <c r="K697" s="30" t="str">
        <f t="shared" si="52"/>
        <v/>
      </c>
      <c r="L697" s="30" t="str">
        <f t="shared" si="53"/>
        <v/>
      </c>
      <c r="M697" s="30" t="str">
        <f t="shared" si="54"/>
        <v/>
      </c>
    </row>
    <row r="698" spans="1:13" x14ac:dyDescent="0.2">
      <c r="A698" s="35"/>
      <c r="B698" s="21"/>
      <c r="C698" s="18"/>
      <c r="D698" s="20"/>
      <c r="E698" s="20"/>
      <c r="F698" s="21"/>
      <c r="G698" s="21"/>
      <c r="H698" s="18"/>
      <c r="I698" s="30" t="str">
        <f t="shared" si="50"/>
        <v/>
      </c>
      <c r="J698" s="38" t="str">
        <f t="shared" si="51"/>
        <v/>
      </c>
      <c r="K698" s="30" t="str">
        <f t="shared" si="52"/>
        <v/>
      </c>
      <c r="L698" s="30" t="str">
        <f t="shared" si="53"/>
        <v/>
      </c>
      <c r="M698" s="30" t="str">
        <f t="shared" si="54"/>
        <v/>
      </c>
    </row>
    <row r="699" spans="1:13" x14ac:dyDescent="0.2">
      <c r="A699" s="35"/>
      <c r="B699" s="21"/>
      <c r="C699" s="18"/>
      <c r="D699" s="20"/>
      <c r="E699" s="20"/>
      <c r="F699" s="21"/>
      <c r="G699" s="21"/>
      <c r="H699" s="18"/>
      <c r="I699" s="30" t="str">
        <f t="shared" si="50"/>
        <v/>
      </c>
      <c r="J699" s="38" t="str">
        <f t="shared" si="51"/>
        <v/>
      </c>
      <c r="K699" s="30" t="str">
        <f t="shared" si="52"/>
        <v/>
      </c>
      <c r="L699" s="30" t="str">
        <f t="shared" si="53"/>
        <v/>
      </c>
      <c r="M699" s="30" t="str">
        <f t="shared" si="54"/>
        <v/>
      </c>
    </row>
    <row r="700" spans="1:13" x14ac:dyDescent="0.2">
      <c r="A700" s="35"/>
      <c r="B700" s="21"/>
      <c r="C700" s="18"/>
      <c r="D700" s="20"/>
      <c r="E700" s="20"/>
      <c r="F700" s="21"/>
      <c r="G700" s="21"/>
      <c r="H700" s="18"/>
      <c r="I700" s="30" t="str">
        <f t="shared" si="50"/>
        <v/>
      </c>
      <c r="J700" s="38" t="str">
        <f t="shared" si="51"/>
        <v/>
      </c>
      <c r="K700" s="30" t="str">
        <f t="shared" si="52"/>
        <v/>
      </c>
      <c r="L700" s="30" t="str">
        <f t="shared" si="53"/>
        <v/>
      </c>
      <c r="M700" s="30" t="str">
        <f t="shared" si="54"/>
        <v/>
      </c>
    </row>
    <row r="701" spans="1:13" x14ac:dyDescent="0.2">
      <c r="A701" s="35"/>
      <c r="B701" s="21"/>
      <c r="C701" s="18"/>
      <c r="D701" s="20"/>
      <c r="E701" s="20"/>
      <c r="F701" s="21"/>
      <c r="G701" s="21"/>
      <c r="H701" s="18"/>
      <c r="I701" s="30" t="str">
        <f t="shared" si="50"/>
        <v/>
      </c>
      <c r="J701" s="38" t="str">
        <f t="shared" si="51"/>
        <v/>
      </c>
      <c r="K701" s="30" t="str">
        <f t="shared" si="52"/>
        <v/>
      </c>
      <c r="L701" s="30" t="str">
        <f t="shared" si="53"/>
        <v/>
      </c>
      <c r="M701" s="30" t="str">
        <f t="shared" si="54"/>
        <v/>
      </c>
    </row>
    <row r="702" spans="1:13" x14ac:dyDescent="0.2">
      <c r="A702" s="35"/>
      <c r="B702" s="21"/>
      <c r="C702" s="18"/>
      <c r="D702" s="20"/>
      <c r="E702" s="20"/>
      <c r="F702" s="21"/>
      <c r="G702" s="21"/>
      <c r="H702" s="18"/>
      <c r="I702" s="30" t="str">
        <f t="shared" si="50"/>
        <v/>
      </c>
      <c r="J702" s="38" t="str">
        <f t="shared" si="51"/>
        <v/>
      </c>
      <c r="K702" s="30" t="str">
        <f t="shared" si="52"/>
        <v/>
      </c>
      <c r="L702" s="30" t="str">
        <f t="shared" si="53"/>
        <v/>
      </c>
      <c r="M702" s="30" t="str">
        <f t="shared" si="54"/>
        <v/>
      </c>
    </row>
    <row r="703" spans="1:13" x14ac:dyDescent="0.2">
      <c r="A703" s="35"/>
      <c r="B703" s="21"/>
      <c r="C703" s="18"/>
      <c r="D703" s="20"/>
      <c r="E703" s="20"/>
      <c r="F703" s="21"/>
      <c r="G703" s="21"/>
      <c r="H703" s="18"/>
      <c r="I703" s="30" t="str">
        <f t="shared" si="50"/>
        <v/>
      </c>
      <c r="J703" s="38" t="str">
        <f t="shared" si="51"/>
        <v/>
      </c>
      <c r="K703" s="30" t="str">
        <f t="shared" si="52"/>
        <v/>
      </c>
      <c r="L703" s="30" t="str">
        <f t="shared" si="53"/>
        <v/>
      </c>
      <c r="M703" s="30" t="str">
        <f t="shared" si="54"/>
        <v/>
      </c>
    </row>
    <row r="704" spans="1:13" x14ac:dyDescent="0.2">
      <c r="A704" s="35"/>
      <c r="B704" s="21"/>
      <c r="C704" s="18"/>
      <c r="D704" s="20"/>
      <c r="E704" s="20"/>
      <c r="F704" s="21"/>
      <c r="G704" s="21"/>
      <c r="H704" s="18"/>
      <c r="I704" s="30" t="str">
        <f t="shared" si="50"/>
        <v/>
      </c>
      <c r="J704" s="38" t="str">
        <f t="shared" si="51"/>
        <v/>
      </c>
      <c r="K704" s="30" t="str">
        <f t="shared" si="52"/>
        <v/>
      </c>
      <c r="L704" s="30" t="str">
        <f t="shared" si="53"/>
        <v/>
      </c>
      <c r="M704" s="30" t="str">
        <f t="shared" si="54"/>
        <v/>
      </c>
    </row>
    <row r="705" spans="1:13" x14ac:dyDescent="0.2">
      <c r="A705" s="35"/>
      <c r="B705" s="21"/>
      <c r="C705" s="18"/>
      <c r="D705" s="20"/>
      <c r="E705" s="20"/>
      <c r="F705" s="21"/>
      <c r="G705" s="21"/>
      <c r="H705" s="18"/>
      <c r="I705" s="30" t="str">
        <f t="shared" si="50"/>
        <v/>
      </c>
      <c r="J705" s="38" t="str">
        <f t="shared" si="51"/>
        <v/>
      </c>
      <c r="K705" s="30" t="str">
        <f t="shared" si="52"/>
        <v/>
      </c>
      <c r="L705" s="30" t="str">
        <f t="shared" si="53"/>
        <v/>
      </c>
      <c r="M705" s="30" t="str">
        <f t="shared" si="54"/>
        <v/>
      </c>
    </row>
    <row r="706" spans="1:13" x14ac:dyDescent="0.2">
      <c r="A706" s="35"/>
      <c r="B706" s="21"/>
      <c r="C706" s="18"/>
      <c r="D706" s="20"/>
      <c r="E706" s="20"/>
      <c r="F706" s="21"/>
      <c r="G706" s="21"/>
      <c r="H706" s="18"/>
      <c r="I706" s="30" t="str">
        <f t="shared" si="50"/>
        <v/>
      </c>
      <c r="J706" s="38" t="str">
        <f t="shared" si="51"/>
        <v/>
      </c>
      <c r="K706" s="30" t="str">
        <f t="shared" si="52"/>
        <v/>
      </c>
      <c r="L706" s="30" t="str">
        <f t="shared" si="53"/>
        <v/>
      </c>
      <c r="M706" s="30" t="str">
        <f t="shared" si="54"/>
        <v/>
      </c>
    </row>
    <row r="707" spans="1:13" x14ac:dyDescent="0.2">
      <c r="A707" s="35"/>
      <c r="B707" s="21"/>
      <c r="C707" s="18"/>
      <c r="D707" s="20"/>
      <c r="E707" s="20"/>
      <c r="F707" s="21"/>
      <c r="G707" s="21"/>
      <c r="H707" s="18"/>
      <c r="I707" s="30" t="str">
        <f t="shared" si="50"/>
        <v/>
      </c>
      <c r="J707" s="38" t="str">
        <f t="shared" si="51"/>
        <v/>
      </c>
      <c r="K707" s="30" t="str">
        <f t="shared" si="52"/>
        <v/>
      </c>
      <c r="L707" s="30" t="str">
        <f t="shared" si="53"/>
        <v/>
      </c>
      <c r="M707" s="30" t="str">
        <f t="shared" si="54"/>
        <v/>
      </c>
    </row>
    <row r="708" spans="1:13" x14ac:dyDescent="0.2">
      <c r="A708" s="35"/>
      <c r="B708" s="21"/>
      <c r="C708" s="18"/>
      <c r="D708" s="20"/>
      <c r="E708" s="20"/>
      <c r="F708" s="21"/>
      <c r="G708" s="21"/>
      <c r="H708" s="18"/>
      <c r="I708" s="30" t="str">
        <f t="shared" si="50"/>
        <v/>
      </c>
      <c r="J708" s="38" t="str">
        <f t="shared" si="51"/>
        <v/>
      </c>
      <c r="K708" s="30" t="str">
        <f t="shared" si="52"/>
        <v/>
      </c>
      <c r="L708" s="30" t="str">
        <f t="shared" si="53"/>
        <v/>
      </c>
      <c r="M708" s="30" t="str">
        <f t="shared" si="54"/>
        <v/>
      </c>
    </row>
    <row r="709" spans="1:13" x14ac:dyDescent="0.2">
      <c r="A709" s="35"/>
      <c r="B709" s="21"/>
      <c r="C709" s="18"/>
      <c r="D709" s="20"/>
      <c r="E709" s="20"/>
      <c r="F709" s="21"/>
      <c r="G709" s="21"/>
      <c r="H709" s="18"/>
      <c r="I709" s="30" t="str">
        <f t="shared" si="50"/>
        <v/>
      </c>
      <c r="J709" s="38" t="str">
        <f t="shared" si="51"/>
        <v/>
      </c>
      <c r="K709" s="30" t="str">
        <f t="shared" si="52"/>
        <v/>
      </c>
      <c r="L709" s="30" t="str">
        <f t="shared" si="53"/>
        <v/>
      </c>
      <c r="M709" s="30" t="str">
        <f t="shared" si="54"/>
        <v/>
      </c>
    </row>
    <row r="710" spans="1:13" x14ac:dyDescent="0.2">
      <c r="A710" s="35"/>
      <c r="B710" s="21"/>
      <c r="C710" s="18"/>
      <c r="D710" s="20"/>
      <c r="E710" s="20"/>
      <c r="F710" s="21"/>
      <c r="G710" s="21"/>
      <c r="H710" s="18"/>
      <c r="I710" s="30" t="str">
        <f t="shared" ref="I710:I773" si="55">IF(OR(D710="",E710=""),"",ROUND(MOD(E710-D710,1)*1440,0))</f>
        <v/>
      </c>
      <c r="J710" s="38" t="str">
        <f t="shared" ref="J710:J773" si="56">IF(F710="","",IFERROR(INDEX(LYDO_TEN,MATCH(F710,DS_LYDO,0)),"?"))</f>
        <v/>
      </c>
      <c r="K710" s="30" t="str">
        <f t="shared" ref="K710:K773" si="57">IF(F710="","",IFERROR(INDEX(LYDO_LOAI,MATCH(F710,DS_LYDO,0)),"?"))</f>
        <v/>
      </c>
      <c r="L710" s="30" t="str">
        <f t="shared" ref="L710:L773" si="58">IF(F710="","",IFERROR(INDEX(LYDO_BP,MATCH(F710,DS_LYDO,0)),"?"))</f>
        <v/>
      </c>
      <c r="M710" s="30" t="str">
        <f t="shared" ref="M710:M773" si="59">IF(I710="","",IF(MOD(I710,5)=0,1,0))</f>
        <v/>
      </c>
    </row>
    <row r="711" spans="1:13" x14ac:dyDescent="0.2">
      <c r="A711" s="35"/>
      <c r="B711" s="21"/>
      <c r="C711" s="18"/>
      <c r="D711" s="20"/>
      <c r="E711" s="20"/>
      <c r="F711" s="21"/>
      <c r="G711" s="21"/>
      <c r="H711" s="18"/>
      <c r="I711" s="30" t="str">
        <f t="shared" si="55"/>
        <v/>
      </c>
      <c r="J711" s="38" t="str">
        <f t="shared" si="56"/>
        <v/>
      </c>
      <c r="K711" s="30" t="str">
        <f t="shared" si="57"/>
        <v/>
      </c>
      <c r="L711" s="30" t="str">
        <f t="shared" si="58"/>
        <v/>
      </c>
      <c r="M711" s="30" t="str">
        <f t="shared" si="59"/>
        <v/>
      </c>
    </row>
    <row r="712" spans="1:13" x14ac:dyDescent="0.2">
      <c r="A712" s="35"/>
      <c r="B712" s="21"/>
      <c r="C712" s="18"/>
      <c r="D712" s="20"/>
      <c r="E712" s="20"/>
      <c r="F712" s="21"/>
      <c r="G712" s="21"/>
      <c r="H712" s="18"/>
      <c r="I712" s="30" t="str">
        <f t="shared" si="55"/>
        <v/>
      </c>
      <c r="J712" s="38" t="str">
        <f t="shared" si="56"/>
        <v/>
      </c>
      <c r="K712" s="30" t="str">
        <f t="shared" si="57"/>
        <v/>
      </c>
      <c r="L712" s="30" t="str">
        <f t="shared" si="58"/>
        <v/>
      </c>
      <c r="M712" s="30" t="str">
        <f t="shared" si="59"/>
        <v/>
      </c>
    </row>
    <row r="713" spans="1:13" x14ac:dyDescent="0.2">
      <c r="A713" s="35"/>
      <c r="B713" s="21"/>
      <c r="C713" s="18"/>
      <c r="D713" s="20"/>
      <c r="E713" s="20"/>
      <c r="F713" s="21"/>
      <c r="G713" s="21"/>
      <c r="H713" s="18"/>
      <c r="I713" s="30" t="str">
        <f t="shared" si="55"/>
        <v/>
      </c>
      <c r="J713" s="38" t="str">
        <f t="shared" si="56"/>
        <v/>
      </c>
      <c r="K713" s="30" t="str">
        <f t="shared" si="57"/>
        <v/>
      </c>
      <c r="L713" s="30" t="str">
        <f t="shared" si="58"/>
        <v/>
      </c>
      <c r="M713" s="30" t="str">
        <f t="shared" si="59"/>
        <v/>
      </c>
    </row>
    <row r="714" spans="1:13" x14ac:dyDescent="0.2">
      <c r="A714" s="35"/>
      <c r="B714" s="21"/>
      <c r="C714" s="18"/>
      <c r="D714" s="20"/>
      <c r="E714" s="20"/>
      <c r="F714" s="21"/>
      <c r="G714" s="21"/>
      <c r="H714" s="18"/>
      <c r="I714" s="30" t="str">
        <f t="shared" si="55"/>
        <v/>
      </c>
      <c r="J714" s="38" t="str">
        <f t="shared" si="56"/>
        <v/>
      </c>
      <c r="K714" s="30" t="str">
        <f t="shared" si="57"/>
        <v/>
      </c>
      <c r="L714" s="30" t="str">
        <f t="shared" si="58"/>
        <v/>
      </c>
      <c r="M714" s="30" t="str">
        <f t="shared" si="59"/>
        <v/>
      </c>
    </row>
    <row r="715" spans="1:13" x14ac:dyDescent="0.2">
      <c r="A715" s="35"/>
      <c r="B715" s="21"/>
      <c r="C715" s="18"/>
      <c r="D715" s="20"/>
      <c r="E715" s="20"/>
      <c r="F715" s="21"/>
      <c r="G715" s="21"/>
      <c r="H715" s="18"/>
      <c r="I715" s="30" t="str">
        <f t="shared" si="55"/>
        <v/>
      </c>
      <c r="J715" s="38" t="str">
        <f t="shared" si="56"/>
        <v/>
      </c>
      <c r="K715" s="30" t="str">
        <f t="shared" si="57"/>
        <v/>
      </c>
      <c r="L715" s="30" t="str">
        <f t="shared" si="58"/>
        <v/>
      </c>
      <c r="M715" s="30" t="str">
        <f t="shared" si="59"/>
        <v/>
      </c>
    </row>
    <row r="716" spans="1:13" x14ac:dyDescent="0.2">
      <c r="A716" s="35"/>
      <c r="B716" s="21"/>
      <c r="C716" s="18"/>
      <c r="D716" s="20"/>
      <c r="E716" s="20"/>
      <c r="F716" s="21"/>
      <c r="G716" s="21"/>
      <c r="H716" s="18"/>
      <c r="I716" s="30" t="str">
        <f t="shared" si="55"/>
        <v/>
      </c>
      <c r="J716" s="38" t="str">
        <f t="shared" si="56"/>
        <v/>
      </c>
      <c r="K716" s="30" t="str">
        <f t="shared" si="57"/>
        <v/>
      </c>
      <c r="L716" s="30" t="str">
        <f t="shared" si="58"/>
        <v/>
      </c>
      <c r="M716" s="30" t="str">
        <f t="shared" si="59"/>
        <v/>
      </c>
    </row>
    <row r="717" spans="1:13" x14ac:dyDescent="0.2">
      <c r="A717" s="35"/>
      <c r="B717" s="21"/>
      <c r="C717" s="18"/>
      <c r="D717" s="20"/>
      <c r="E717" s="20"/>
      <c r="F717" s="21"/>
      <c r="G717" s="21"/>
      <c r="H717" s="18"/>
      <c r="I717" s="30" t="str">
        <f t="shared" si="55"/>
        <v/>
      </c>
      <c r="J717" s="38" t="str">
        <f t="shared" si="56"/>
        <v/>
      </c>
      <c r="K717" s="30" t="str">
        <f t="shared" si="57"/>
        <v/>
      </c>
      <c r="L717" s="30" t="str">
        <f t="shared" si="58"/>
        <v/>
      </c>
      <c r="M717" s="30" t="str">
        <f t="shared" si="59"/>
        <v/>
      </c>
    </row>
    <row r="718" spans="1:13" x14ac:dyDescent="0.2">
      <c r="A718" s="35"/>
      <c r="B718" s="21"/>
      <c r="C718" s="18"/>
      <c r="D718" s="20"/>
      <c r="E718" s="20"/>
      <c r="F718" s="21"/>
      <c r="G718" s="21"/>
      <c r="H718" s="18"/>
      <c r="I718" s="30" t="str">
        <f t="shared" si="55"/>
        <v/>
      </c>
      <c r="J718" s="38" t="str">
        <f t="shared" si="56"/>
        <v/>
      </c>
      <c r="K718" s="30" t="str">
        <f t="shared" si="57"/>
        <v/>
      </c>
      <c r="L718" s="30" t="str">
        <f t="shared" si="58"/>
        <v/>
      </c>
      <c r="M718" s="30" t="str">
        <f t="shared" si="59"/>
        <v/>
      </c>
    </row>
    <row r="719" spans="1:13" x14ac:dyDescent="0.2">
      <c r="A719" s="35"/>
      <c r="B719" s="21"/>
      <c r="C719" s="18"/>
      <c r="D719" s="20"/>
      <c r="E719" s="20"/>
      <c r="F719" s="21"/>
      <c r="G719" s="21"/>
      <c r="H719" s="18"/>
      <c r="I719" s="30" t="str">
        <f t="shared" si="55"/>
        <v/>
      </c>
      <c r="J719" s="38" t="str">
        <f t="shared" si="56"/>
        <v/>
      </c>
      <c r="K719" s="30" t="str">
        <f t="shared" si="57"/>
        <v/>
      </c>
      <c r="L719" s="30" t="str">
        <f t="shared" si="58"/>
        <v/>
      </c>
      <c r="M719" s="30" t="str">
        <f t="shared" si="59"/>
        <v/>
      </c>
    </row>
    <row r="720" spans="1:13" x14ac:dyDescent="0.2">
      <c r="A720" s="35"/>
      <c r="B720" s="21"/>
      <c r="C720" s="18"/>
      <c r="D720" s="20"/>
      <c r="E720" s="20"/>
      <c r="F720" s="21"/>
      <c r="G720" s="21"/>
      <c r="H720" s="18"/>
      <c r="I720" s="30" t="str">
        <f t="shared" si="55"/>
        <v/>
      </c>
      <c r="J720" s="38" t="str">
        <f t="shared" si="56"/>
        <v/>
      </c>
      <c r="K720" s="30" t="str">
        <f t="shared" si="57"/>
        <v/>
      </c>
      <c r="L720" s="30" t="str">
        <f t="shared" si="58"/>
        <v/>
      </c>
      <c r="M720" s="30" t="str">
        <f t="shared" si="59"/>
        <v/>
      </c>
    </row>
    <row r="721" spans="1:13" x14ac:dyDescent="0.2">
      <c r="A721" s="35"/>
      <c r="B721" s="21"/>
      <c r="C721" s="18"/>
      <c r="D721" s="20"/>
      <c r="E721" s="20"/>
      <c r="F721" s="21"/>
      <c r="G721" s="21"/>
      <c r="H721" s="18"/>
      <c r="I721" s="30" t="str">
        <f t="shared" si="55"/>
        <v/>
      </c>
      <c r="J721" s="38" t="str">
        <f t="shared" si="56"/>
        <v/>
      </c>
      <c r="K721" s="30" t="str">
        <f t="shared" si="57"/>
        <v/>
      </c>
      <c r="L721" s="30" t="str">
        <f t="shared" si="58"/>
        <v/>
      </c>
      <c r="M721" s="30" t="str">
        <f t="shared" si="59"/>
        <v/>
      </c>
    </row>
    <row r="722" spans="1:13" x14ac:dyDescent="0.2">
      <c r="A722" s="35"/>
      <c r="B722" s="21"/>
      <c r="C722" s="18"/>
      <c r="D722" s="20"/>
      <c r="E722" s="20"/>
      <c r="F722" s="21"/>
      <c r="G722" s="21"/>
      <c r="H722" s="18"/>
      <c r="I722" s="30" t="str">
        <f t="shared" si="55"/>
        <v/>
      </c>
      <c r="J722" s="38" t="str">
        <f t="shared" si="56"/>
        <v/>
      </c>
      <c r="K722" s="30" t="str">
        <f t="shared" si="57"/>
        <v/>
      </c>
      <c r="L722" s="30" t="str">
        <f t="shared" si="58"/>
        <v/>
      </c>
      <c r="M722" s="30" t="str">
        <f t="shared" si="59"/>
        <v/>
      </c>
    </row>
    <row r="723" spans="1:13" x14ac:dyDescent="0.2">
      <c r="A723" s="35"/>
      <c r="B723" s="21"/>
      <c r="C723" s="18"/>
      <c r="D723" s="20"/>
      <c r="E723" s="20"/>
      <c r="F723" s="21"/>
      <c r="G723" s="21"/>
      <c r="H723" s="18"/>
      <c r="I723" s="30" t="str">
        <f t="shared" si="55"/>
        <v/>
      </c>
      <c r="J723" s="38" t="str">
        <f t="shared" si="56"/>
        <v/>
      </c>
      <c r="K723" s="30" t="str">
        <f t="shared" si="57"/>
        <v/>
      </c>
      <c r="L723" s="30" t="str">
        <f t="shared" si="58"/>
        <v/>
      </c>
      <c r="M723" s="30" t="str">
        <f t="shared" si="59"/>
        <v/>
      </c>
    </row>
    <row r="724" spans="1:13" x14ac:dyDescent="0.2">
      <c r="A724" s="35"/>
      <c r="B724" s="21"/>
      <c r="C724" s="18"/>
      <c r="D724" s="20"/>
      <c r="E724" s="20"/>
      <c r="F724" s="21"/>
      <c r="G724" s="21"/>
      <c r="H724" s="18"/>
      <c r="I724" s="30" t="str">
        <f t="shared" si="55"/>
        <v/>
      </c>
      <c r="J724" s="38" t="str">
        <f t="shared" si="56"/>
        <v/>
      </c>
      <c r="K724" s="30" t="str">
        <f t="shared" si="57"/>
        <v/>
      </c>
      <c r="L724" s="30" t="str">
        <f t="shared" si="58"/>
        <v/>
      </c>
      <c r="M724" s="30" t="str">
        <f t="shared" si="59"/>
        <v/>
      </c>
    </row>
    <row r="725" spans="1:13" x14ac:dyDescent="0.2">
      <c r="A725" s="35"/>
      <c r="B725" s="21"/>
      <c r="C725" s="18"/>
      <c r="D725" s="20"/>
      <c r="E725" s="20"/>
      <c r="F725" s="21"/>
      <c r="G725" s="21"/>
      <c r="H725" s="18"/>
      <c r="I725" s="30" t="str">
        <f t="shared" si="55"/>
        <v/>
      </c>
      <c r="J725" s="38" t="str">
        <f t="shared" si="56"/>
        <v/>
      </c>
      <c r="K725" s="30" t="str">
        <f t="shared" si="57"/>
        <v/>
      </c>
      <c r="L725" s="30" t="str">
        <f t="shared" si="58"/>
        <v/>
      </c>
      <c r="M725" s="30" t="str">
        <f t="shared" si="59"/>
        <v/>
      </c>
    </row>
    <row r="726" spans="1:13" x14ac:dyDescent="0.2">
      <c r="A726" s="35"/>
      <c r="B726" s="21"/>
      <c r="C726" s="18"/>
      <c r="D726" s="20"/>
      <c r="E726" s="20"/>
      <c r="F726" s="21"/>
      <c r="G726" s="21"/>
      <c r="H726" s="18"/>
      <c r="I726" s="30" t="str">
        <f t="shared" si="55"/>
        <v/>
      </c>
      <c r="J726" s="38" t="str">
        <f t="shared" si="56"/>
        <v/>
      </c>
      <c r="K726" s="30" t="str">
        <f t="shared" si="57"/>
        <v/>
      </c>
      <c r="L726" s="30" t="str">
        <f t="shared" si="58"/>
        <v/>
      </c>
      <c r="M726" s="30" t="str">
        <f t="shared" si="59"/>
        <v/>
      </c>
    </row>
    <row r="727" spans="1:13" x14ac:dyDescent="0.2">
      <c r="A727" s="35"/>
      <c r="B727" s="21"/>
      <c r="C727" s="18"/>
      <c r="D727" s="20"/>
      <c r="E727" s="20"/>
      <c r="F727" s="21"/>
      <c r="G727" s="21"/>
      <c r="H727" s="18"/>
      <c r="I727" s="30" t="str">
        <f t="shared" si="55"/>
        <v/>
      </c>
      <c r="J727" s="38" t="str">
        <f t="shared" si="56"/>
        <v/>
      </c>
      <c r="K727" s="30" t="str">
        <f t="shared" si="57"/>
        <v/>
      </c>
      <c r="L727" s="30" t="str">
        <f t="shared" si="58"/>
        <v/>
      </c>
      <c r="M727" s="30" t="str">
        <f t="shared" si="59"/>
        <v/>
      </c>
    </row>
    <row r="728" spans="1:13" x14ac:dyDescent="0.2">
      <c r="A728" s="35"/>
      <c r="B728" s="21"/>
      <c r="C728" s="18"/>
      <c r="D728" s="20"/>
      <c r="E728" s="20"/>
      <c r="F728" s="21"/>
      <c r="G728" s="21"/>
      <c r="H728" s="18"/>
      <c r="I728" s="30" t="str">
        <f t="shared" si="55"/>
        <v/>
      </c>
      <c r="J728" s="38" t="str">
        <f t="shared" si="56"/>
        <v/>
      </c>
      <c r="K728" s="30" t="str">
        <f t="shared" si="57"/>
        <v/>
      </c>
      <c r="L728" s="30" t="str">
        <f t="shared" si="58"/>
        <v/>
      </c>
      <c r="M728" s="30" t="str">
        <f t="shared" si="59"/>
        <v/>
      </c>
    </row>
    <row r="729" spans="1:13" x14ac:dyDescent="0.2">
      <c r="A729" s="35"/>
      <c r="B729" s="21"/>
      <c r="C729" s="18"/>
      <c r="D729" s="20"/>
      <c r="E729" s="20"/>
      <c r="F729" s="21"/>
      <c r="G729" s="21"/>
      <c r="H729" s="18"/>
      <c r="I729" s="30" t="str">
        <f t="shared" si="55"/>
        <v/>
      </c>
      <c r="J729" s="38" t="str">
        <f t="shared" si="56"/>
        <v/>
      </c>
      <c r="K729" s="30" t="str">
        <f t="shared" si="57"/>
        <v/>
      </c>
      <c r="L729" s="30" t="str">
        <f t="shared" si="58"/>
        <v/>
      </c>
      <c r="M729" s="30" t="str">
        <f t="shared" si="59"/>
        <v/>
      </c>
    </row>
    <row r="730" spans="1:13" x14ac:dyDescent="0.2">
      <c r="A730" s="35"/>
      <c r="B730" s="21"/>
      <c r="C730" s="18"/>
      <c r="D730" s="20"/>
      <c r="E730" s="20"/>
      <c r="F730" s="21"/>
      <c r="G730" s="21"/>
      <c r="H730" s="18"/>
      <c r="I730" s="30" t="str">
        <f t="shared" si="55"/>
        <v/>
      </c>
      <c r="J730" s="38" t="str">
        <f t="shared" si="56"/>
        <v/>
      </c>
      <c r="K730" s="30" t="str">
        <f t="shared" si="57"/>
        <v/>
      </c>
      <c r="L730" s="30" t="str">
        <f t="shared" si="58"/>
        <v/>
      </c>
      <c r="M730" s="30" t="str">
        <f t="shared" si="59"/>
        <v/>
      </c>
    </row>
    <row r="731" spans="1:13" x14ac:dyDescent="0.2">
      <c r="A731" s="35"/>
      <c r="B731" s="21"/>
      <c r="C731" s="18"/>
      <c r="D731" s="20"/>
      <c r="E731" s="20"/>
      <c r="F731" s="21"/>
      <c r="G731" s="21"/>
      <c r="H731" s="18"/>
      <c r="I731" s="30" t="str">
        <f t="shared" si="55"/>
        <v/>
      </c>
      <c r="J731" s="38" t="str">
        <f t="shared" si="56"/>
        <v/>
      </c>
      <c r="K731" s="30" t="str">
        <f t="shared" si="57"/>
        <v/>
      </c>
      <c r="L731" s="30" t="str">
        <f t="shared" si="58"/>
        <v/>
      </c>
      <c r="M731" s="30" t="str">
        <f t="shared" si="59"/>
        <v/>
      </c>
    </row>
    <row r="732" spans="1:13" x14ac:dyDescent="0.2">
      <c r="A732" s="35"/>
      <c r="B732" s="21"/>
      <c r="C732" s="18"/>
      <c r="D732" s="20"/>
      <c r="E732" s="20"/>
      <c r="F732" s="21"/>
      <c r="G732" s="21"/>
      <c r="H732" s="18"/>
      <c r="I732" s="30" t="str">
        <f t="shared" si="55"/>
        <v/>
      </c>
      <c r="J732" s="38" t="str">
        <f t="shared" si="56"/>
        <v/>
      </c>
      <c r="K732" s="30" t="str">
        <f t="shared" si="57"/>
        <v/>
      </c>
      <c r="L732" s="30" t="str">
        <f t="shared" si="58"/>
        <v/>
      </c>
      <c r="M732" s="30" t="str">
        <f t="shared" si="59"/>
        <v/>
      </c>
    </row>
    <row r="733" spans="1:13" x14ac:dyDescent="0.2">
      <c r="A733" s="35"/>
      <c r="B733" s="21"/>
      <c r="C733" s="18"/>
      <c r="D733" s="20"/>
      <c r="E733" s="20"/>
      <c r="F733" s="21"/>
      <c r="G733" s="21"/>
      <c r="H733" s="18"/>
      <c r="I733" s="30" t="str">
        <f t="shared" si="55"/>
        <v/>
      </c>
      <c r="J733" s="38" t="str">
        <f t="shared" si="56"/>
        <v/>
      </c>
      <c r="K733" s="30" t="str">
        <f t="shared" si="57"/>
        <v/>
      </c>
      <c r="L733" s="30" t="str">
        <f t="shared" si="58"/>
        <v/>
      </c>
      <c r="M733" s="30" t="str">
        <f t="shared" si="59"/>
        <v/>
      </c>
    </row>
    <row r="734" spans="1:13" x14ac:dyDescent="0.2">
      <c r="A734" s="35"/>
      <c r="B734" s="21"/>
      <c r="C734" s="18"/>
      <c r="D734" s="20"/>
      <c r="E734" s="20"/>
      <c r="F734" s="21"/>
      <c r="G734" s="21"/>
      <c r="H734" s="18"/>
      <c r="I734" s="30" t="str">
        <f t="shared" si="55"/>
        <v/>
      </c>
      <c r="J734" s="38" t="str">
        <f t="shared" si="56"/>
        <v/>
      </c>
      <c r="K734" s="30" t="str">
        <f t="shared" si="57"/>
        <v/>
      </c>
      <c r="L734" s="30" t="str">
        <f t="shared" si="58"/>
        <v/>
      </c>
      <c r="M734" s="30" t="str">
        <f t="shared" si="59"/>
        <v/>
      </c>
    </row>
    <row r="735" spans="1:13" x14ac:dyDescent="0.2">
      <c r="A735" s="35"/>
      <c r="B735" s="21"/>
      <c r="C735" s="18"/>
      <c r="D735" s="20"/>
      <c r="E735" s="20"/>
      <c r="F735" s="21"/>
      <c r="G735" s="21"/>
      <c r="H735" s="18"/>
      <c r="I735" s="30" t="str">
        <f t="shared" si="55"/>
        <v/>
      </c>
      <c r="J735" s="38" t="str">
        <f t="shared" si="56"/>
        <v/>
      </c>
      <c r="K735" s="30" t="str">
        <f t="shared" si="57"/>
        <v/>
      </c>
      <c r="L735" s="30" t="str">
        <f t="shared" si="58"/>
        <v/>
      </c>
      <c r="M735" s="30" t="str">
        <f t="shared" si="59"/>
        <v/>
      </c>
    </row>
    <row r="736" spans="1:13" x14ac:dyDescent="0.2">
      <c r="A736" s="35"/>
      <c r="B736" s="21"/>
      <c r="C736" s="18"/>
      <c r="D736" s="20"/>
      <c r="E736" s="20"/>
      <c r="F736" s="21"/>
      <c r="G736" s="21"/>
      <c r="H736" s="18"/>
      <c r="I736" s="30" t="str">
        <f t="shared" si="55"/>
        <v/>
      </c>
      <c r="J736" s="38" t="str">
        <f t="shared" si="56"/>
        <v/>
      </c>
      <c r="K736" s="30" t="str">
        <f t="shared" si="57"/>
        <v/>
      </c>
      <c r="L736" s="30" t="str">
        <f t="shared" si="58"/>
        <v/>
      </c>
      <c r="M736" s="30" t="str">
        <f t="shared" si="59"/>
        <v/>
      </c>
    </row>
    <row r="737" spans="1:13" x14ac:dyDescent="0.2">
      <c r="A737" s="35"/>
      <c r="B737" s="21"/>
      <c r="C737" s="18"/>
      <c r="D737" s="20"/>
      <c r="E737" s="20"/>
      <c r="F737" s="21"/>
      <c r="G737" s="21"/>
      <c r="H737" s="18"/>
      <c r="I737" s="30" t="str">
        <f t="shared" si="55"/>
        <v/>
      </c>
      <c r="J737" s="38" t="str">
        <f t="shared" si="56"/>
        <v/>
      </c>
      <c r="K737" s="30" t="str">
        <f t="shared" si="57"/>
        <v/>
      </c>
      <c r="L737" s="30" t="str">
        <f t="shared" si="58"/>
        <v/>
      </c>
      <c r="M737" s="30" t="str">
        <f t="shared" si="59"/>
        <v/>
      </c>
    </row>
    <row r="738" spans="1:13" x14ac:dyDescent="0.2">
      <c r="A738" s="35"/>
      <c r="B738" s="21"/>
      <c r="C738" s="18"/>
      <c r="D738" s="20"/>
      <c r="E738" s="20"/>
      <c r="F738" s="21"/>
      <c r="G738" s="21"/>
      <c r="H738" s="18"/>
      <c r="I738" s="30" t="str">
        <f t="shared" si="55"/>
        <v/>
      </c>
      <c r="J738" s="38" t="str">
        <f t="shared" si="56"/>
        <v/>
      </c>
      <c r="K738" s="30" t="str">
        <f t="shared" si="57"/>
        <v/>
      </c>
      <c r="L738" s="30" t="str">
        <f t="shared" si="58"/>
        <v/>
      </c>
      <c r="M738" s="30" t="str">
        <f t="shared" si="59"/>
        <v/>
      </c>
    </row>
    <row r="739" spans="1:13" x14ac:dyDescent="0.2">
      <c r="A739" s="35"/>
      <c r="B739" s="21"/>
      <c r="C739" s="18"/>
      <c r="D739" s="20"/>
      <c r="E739" s="20"/>
      <c r="F739" s="21"/>
      <c r="G739" s="21"/>
      <c r="H739" s="18"/>
      <c r="I739" s="30" t="str">
        <f t="shared" si="55"/>
        <v/>
      </c>
      <c r="J739" s="38" t="str">
        <f t="shared" si="56"/>
        <v/>
      </c>
      <c r="K739" s="30" t="str">
        <f t="shared" si="57"/>
        <v/>
      </c>
      <c r="L739" s="30" t="str">
        <f t="shared" si="58"/>
        <v/>
      </c>
      <c r="M739" s="30" t="str">
        <f t="shared" si="59"/>
        <v/>
      </c>
    </row>
    <row r="740" spans="1:13" x14ac:dyDescent="0.2">
      <c r="A740" s="35"/>
      <c r="B740" s="21"/>
      <c r="C740" s="18"/>
      <c r="D740" s="20"/>
      <c r="E740" s="20"/>
      <c r="F740" s="21"/>
      <c r="G740" s="21"/>
      <c r="H740" s="18"/>
      <c r="I740" s="30" t="str">
        <f t="shared" si="55"/>
        <v/>
      </c>
      <c r="J740" s="38" t="str">
        <f t="shared" si="56"/>
        <v/>
      </c>
      <c r="K740" s="30" t="str">
        <f t="shared" si="57"/>
        <v/>
      </c>
      <c r="L740" s="30" t="str">
        <f t="shared" si="58"/>
        <v/>
      </c>
      <c r="M740" s="30" t="str">
        <f t="shared" si="59"/>
        <v/>
      </c>
    </row>
    <row r="741" spans="1:13" x14ac:dyDescent="0.2">
      <c r="A741" s="35"/>
      <c r="B741" s="21"/>
      <c r="C741" s="18"/>
      <c r="D741" s="20"/>
      <c r="E741" s="20"/>
      <c r="F741" s="21"/>
      <c r="G741" s="21"/>
      <c r="H741" s="18"/>
      <c r="I741" s="30" t="str">
        <f t="shared" si="55"/>
        <v/>
      </c>
      <c r="J741" s="38" t="str">
        <f t="shared" si="56"/>
        <v/>
      </c>
      <c r="K741" s="30" t="str">
        <f t="shared" si="57"/>
        <v/>
      </c>
      <c r="L741" s="30" t="str">
        <f t="shared" si="58"/>
        <v/>
      </c>
      <c r="M741" s="30" t="str">
        <f t="shared" si="59"/>
        <v/>
      </c>
    </row>
    <row r="742" spans="1:13" x14ac:dyDescent="0.2">
      <c r="A742" s="35"/>
      <c r="B742" s="21"/>
      <c r="C742" s="18"/>
      <c r="D742" s="20"/>
      <c r="E742" s="20"/>
      <c r="F742" s="21"/>
      <c r="G742" s="21"/>
      <c r="H742" s="18"/>
      <c r="I742" s="30" t="str">
        <f t="shared" si="55"/>
        <v/>
      </c>
      <c r="J742" s="38" t="str">
        <f t="shared" si="56"/>
        <v/>
      </c>
      <c r="K742" s="30" t="str">
        <f t="shared" si="57"/>
        <v/>
      </c>
      <c r="L742" s="30" t="str">
        <f t="shared" si="58"/>
        <v/>
      </c>
      <c r="M742" s="30" t="str">
        <f t="shared" si="59"/>
        <v/>
      </c>
    </row>
    <row r="743" spans="1:13" x14ac:dyDescent="0.2">
      <c r="A743" s="35"/>
      <c r="B743" s="21"/>
      <c r="C743" s="18"/>
      <c r="D743" s="20"/>
      <c r="E743" s="20"/>
      <c r="F743" s="21"/>
      <c r="G743" s="21"/>
      <c r="H743" s="18"/>
      <c r="I743" s="30" t="str">
        <f t="shared" si="55"/>
        <v/>
      </c>
      <c r="J743" s="38" t="str">
        <f t="shared" si="56"/>
        <v/>
      </c>
      <c r="K743" s="30" t="str">
        <f t="shared" si="57"/>
        <v/>
      </c>
      <c r="L743" s="30" t="str">
        <f t="shared" si="58"/>
        <v/>
      </c>
      <c r="M743" s="30" t="str">
        <f t="shared" si="59"/>
        <v/>
      </c>
    </row>
    <row r="744" spans="1:13" x14ac:dyDescent="0.2">
      <c r="A744" s="35"/>
      <c r="B744" s="21"/>
      <c r="C744" s="18"/>
      <c r="D744" s="20"/>
      <c r="E744" s="20"/>
      <c r="F744" s="21"/>
      <c r="G744" s="21"/>
      <c r="H744" s="18"/>
      <c r="I744" s="30" t="str">
        <f t="shared" si="55"/>
        <v/>
      </c>
      <c r="J744" s="38" t="str">
        <f t="shared" si="56"/>
        <v/>
      </c>
      <c r="K744" s="30" t="str">
        <f t="shared" si="57"/>
        <v/>
      </c>
      <c r="L744" s="30" t="str">
        <f t="shared" si="58"/>
        <v/>
      </c>
      <c r="M744" s="30" t="str">
        <f t="shared" si="59"/>
        <v/>
      </c>
    </row>
    <row r="745" spans="1:13" x14ac:dyDescent="0.2">
      <c r="A745" s="35"/>
      <c r="B745" s="21"/>
      <c r="C745" s="18"/>
      <c r="D745" s="20"/>
      <c r="E745" s="20"/>
      <c r="F745" s="21"/>
      <c r="G745" s="21"/>
      <c r="H745" s="18"/>
      <c r="I745" s="30" t="str">
        <f t="shared" si="55"/>
        <v/>
      </c>
      <c r="J745" s="38" t="str">
        <f t="shared" si="56"/>
        <v/>
      </c>
      <c r="K745" s="30" t="str">
        <f t="shared" si="57"/>
        <v/>
      </c>
      <c r="L745" s="30" t="str">
        <f t="shared" si="58"/>
        <v/>
      </c>
      <c r="M745" s="30" t="str">
        <f t="shared" si="59"/>
        <v/>
      </c>
    </row>
    <row r="746" spans="1:13" x14ac:dyDescent="0.2">
      <c r="A746" s="35"/>
      <c r="B746" s="21"/>
      <c r="C746" s="18"/>
      <c r="D746" s="20"/>
      <c r="E746" s="20"/>
      <c r="F746" s="21"/>
      <c r="G746" s="21"/>
      <c r="H746" s="18"/>
      <c r="I746" s="30" t="str">
        <f t="shared" si="55"/>
        <v/>
      </c>
      <c r="J746" s="38" t="str">
        <f t="shared" si="56"/>
        <v/>
      </c>
      <c r="K746" s="30" t="str">
        <f t="shared" si="57"/>
        <v/>
      </c>
      <c r="L746" s="30" t="str">
        <f t="shared" si="58"/>
        <v/>
      </c>
      <c r="M746" s="30" t="str">
        <f t="shared" si="59"/>
        <v/>
      </c>
    </row>
    <row r="747" spans="1:13" x14ac:dyDescent="0.2">
      <c r="A747" s="35"/>
      <c r="B747" s="21"/>
      <c r="C747" s="18"/>
      <c r="D747" s="20"/>
      <c r="E747" s="20"/>
      <c r="F747" s="21"/>
      <c r="G747" s="21"/>
      <c r="H747" s="18"/>
      <c r="I747" s="30" t="str">
        <f t="shared" si="55"/>
        <v/>
      </c>
      <c r="J747" s="38" t="str">
        <f t="shared" si="56"/>
        <v/>
      </c>
      <c r="K747" s="30" t="str">
        <f t="shared" si="57"/>
        <v/>
      </c>
      <c r="L747" s="30" t="str">
        <f t="shared" si="58"/>
        <v/>
      </c>
      <c r="M747" s="30" t="str">
        <f t="shared" si="59"/>
        <v/>
      </c>
    </row>
    <row r="748" spans="1:13" x14ac:dyDescent="0.2">
      <c r="A748" s="35"/>
      <c r="B748" s="21"/>
      <c r="C748" s="18"/>
      <c r="D748" s="20"/>
      <c r="E748" s="20"/>
      <c r="F748" s="21"/>
      <c r="G748" s="21"/>
      <c r="H748" s="18"/>
      <c r="I748" s="30" t="str">
        <f t="shared" si="55"/>
        <v/>
      </c>
      <c r="J748" s="38" t="str">
        <f t="shared" si="56"/>
        <v/>
      </c>
      <c r="K748" s="30" t="str">
        <f t="shared" si="57"/>
        <v/>
      </c>
      <c r="L748" s="30" t="str">
        <f t="shared" si="58"/>
        <v/>
      </c>
      <c r="M748" s="30" t="str">
        <f t="shared" si="59"/>
        <v/>
      </c>
    </row>
    <row r="749" spans="1:13" x14ac:dyDescent="0.2">
      <c r="A749" s="35"/>
      <c r="B749" s="21"/>
      <c r="C749" s="18"/>
      <c r="D749" s="20"/>
      <c r="E749" s="20"/>
      <c r="F749" s="21"/>
      <c r="G749" s="21"/>
      <c r="H749" s="18"/>
      <c r="I749" s="30" t="str">
        <f t="shared" si="55"/>
        <v/>
      </c>
      <c r="J749" s="38" t="str">
        <f t="shared" si="56"/>
        <v/>
      </c>
      <c r="K749" s="30" t="str">
        <f t="shared" si="57"/>
        <v/>
      </c>
      <c r="L749" s="30" t="str">
        <f t="shared" si="58"/>
        <v/>
      </c>
      <c r="M749" s="30" t="str">
        <f t="shared" si="59"/>
        <v/>
      </c>
    </row>
    <row r="750" spans="1:13" x14ac:dyDescent="0.2">
      <c r="A750" s="35"/>
      <c r="B750" s="21"/>
      <c r="C750" s="18"/>
      <c r="D750" s="20"/>
      <c r="E750" s="20"/>
      <c r="F750" s="21"/>
      <c r="G750" s="21"/>
      <c r="H750" s="18"/>
      <c r="I750" s="30" t="str">
        <f t="shared" si="55"/>
        <v/>
      </c>
      <c r="J750" s="38" t="str">
        <f t="shared" si="56"/>
        <v/>
      </c>
      <c r="K750" s="30" t="str">
        <f t="shared" si="57"/>
        <v/>
      </c>
      <c r="L750" s="30" t="str">
        <f t="shared" si="58"/>
        <v/>
      </c>
      <c r="M750" s="30" t="str">
        <f t="shared" si="59"/>
        <v/>
      </c>
    </row>
    <row r="751" spans="1:13" x14ac:dyDescent="0.2">
      <c r="A751" s="35"/>
      <c r="B751" s="21"/>
      <c r="C751" s="18"/>
      <c r="D751" s="20"/>
      <c r="E751" s="20"/>
      <c r="F751" s="21"/>
      <c r="G751" s="21"/>
      <c r="H751" s="18"/>
      <c r="I751" s="30" t="str">
        <f t="shared" si="55"/>
        <v/>
      </c>
      <c r="J751" s="38" t="str">
        <f t="shared" si="56"/>
        <v/>
      </c>
      <c r="K751" s="30" t="str">
        <f t="shared" si="57"/>
        <v/>
      </c>
      <c r="L751" s="30" t="str">
        <f t="shared" si="58"/>
        <v/>
      </c>
      <c r="M751" s="30" t="str">
        <f t="shared" si="59"/>
        <v/>
      </c>
    </row>
    <row r="752" spans="1:13" x14ac:dyDescent="0.2">
      <c r="A752" s="35"/>
      <c r="B752" s="21"/>
      <c r="C752" s="18"/>
      <c r="D752" s="20"/>
      <c r="E752" s="20"/>
      <c r="F752" s="21"/>
      <c r="G752" s="21"/>
      <c r="H752" s="18"/>
      <c r="I752" s="30" t="str">
        <f t="shared" si="55"/>
        <v/>
      </c>
      <c r="J752" s="38" t="str">
        <f t="shared" si="56"/>
        <v/>
      </c>
      <c r="K752" s="30" t="str">
        <f t="shared" si="57"/>
        <v/>
      </c>
      <c r="L752" s="30" t="str">
        <f t="shared" si="58"/>
        <v/>
      </c>
      <c r="M752" s="30" t="str">
        <f t="shared" si="59"/>
        <v/>
      </c>
    </row>
    <row r="753" spans="1:13" x14ac:dyDescent="0.2">
      <c r="A753" s="35"/>
      <c r="B753" s="21"/>
      <c r="C753" s="18"/>
      <c r="D753" s="20"/>
      <c r="E753" s="20"/>
      <c r="F753" s="21"/>
      <c r="G753" s="21"/>
      <c r="H753" s="18"/>
      <c r="I753" s="30" t="str">
        <f t="shared" si="55"/>
        <v/>
      </c>
      <c r="J753" s="38" t="str">
        <f t="shared" si="56"/>
        <v/>
      </c>
      <c r="K753" s="30" t="str">
        <f t="shared" si="57"/>
        <v/>
      </c>
      <c r="L753" s="30" t="str">
        <f t="shared" si="58"/>
        <v/>
      </c>
      <c r="M753" s="30" t="str">
        <f t="shared" si="59"/>
        <v/>
      </c>
    </row>
    <row r="754" spans="1:13" x14ac:dyDescent="0.2">
      <c r="A754" s="35"/>
      <c r="B754" s="21"/>
      <c r="C754" s="18"/>
      <c r="D754" s="20"/>
      <c r="E754" s="20"/>
      <c r="F754" s="21"/>
      <c r="G754" s="21"/>
      <c r="H754" s="18"/>
      <c r="I754" s="30" t="str">
        <f t="shared" si="55"/>
        <v/>
      </c>
      <c r="J754" s="38" t="str">
        <f t="shared" si="56"/>
        <v/>
      </c>
      <c r="K754" s="30" t="str">
        <f t="shared" si="57"/>
        <v/>
      </c>
      <c r="L754" s="30" t="str">
        <f t="shared" si="58"/>
        <v/>
      </c>
      <c r="M754" s="30" t="str">
        <f t="shared" si="59"/>
        <v/>
      </c>
    </row>
    <row r="755" spans="1:13" x14ac:dyDescent="0.2">
      <c r="A755" s="35"/>
      <c r="B755" s="21"/>
      <c r="C755" s="18"/>
      <c r="D755" s="20"/>
      <c r="E755" s="20"/>
      <c r="F755" s="21"/>
      <c r="G755" s="21"/>
      <c r="H755" s="18"/>
      <c r="I755" s="30" t="str">
        <f t="shared" si="55"/>
        <v/>
      </c>
      <c r="J755" s="38" t="str">
        <f t="shared" si="56"/>
        <v/>
      </c>
      <c r="K755" s="30" t="str">
        <f t="shared" si="57"/>
        <v/>
      </c>
      <c r="L755" s="30" t="str">
        <f t="shared" si="58"/>
        <v/>
      </c>
      <c r="M755" s="30" t="str">
        <f t="shared" si="59"/>
        <v/>
      </c>
    </row>
    <row r="756" spans="1:13" x14ac:dyDescent="0.2">
      <c r="A756" s="35"/>
      <c r="B756" s="21"/>
      <c r="C756" s="18"/>
      <c r="D756" s="20"/>
      <c r="E756" s="20"/>
      <c r="F756" s="21"/>
      <c r="G756" s="21"/>
      <c r="H756" s="18"/>
      <c r="I756" s="30" t="str">
        <f t="shared" si="55"/>
        <v/>
      </c>
      <c r="J756" s="38" t="str">
        <f t="shared" si="56"/>
        <v/>
      </c>
      <c r="K756" s="30" t="str">
        <f t="shared" si="57"/>
        <v/>
      </c>
      <c r="L756" s="30" t="str">
        <f t="shared" si="58"/>
        <v/>
      </c>
      <c r="M756" s="30" t="str">
        <f t="shared" si="59"/>
        <v/>
      </c>
    </row>
    <row r="757" spans="1:13" x14ac:dyDescent="0.2">
      <c r="A757" s="35"/>
      <c r="B757" s="21"/>
      <c r="C757" s="18"/>
      <c r="D757" s="20"/>
      <c r="E757" s="20"/>
      <c r="F757" s="21"/>
      <c r="G757" s="21"/>
      <c r="H757" s="18"/>
      <c r="I757" s="30" t="str">
        <f t="shared" si="55"/>
        <v/>
      </c>
      <c r="J757" s="38" t="str">
        <f t="shared" si="56"/>
        <v/>
      </c>
      <c r="K757" s="30" t="str">
        <f t="shared" si="57"/>
        <v/>
      </c>
      <c r="L757" s="30" t="str">
        <f t="shared" si="58"/>
        <v/>
      </c>
      <c r="M757" s="30" t="str">
        <f t="shared" si="59"/>
        <v/>
      </c>
    </row>
    <row r="758" spans="1:13" x14ac:dyDescent="0.2">
      <c r="A758" s="35"/>
      <c r="B758" s="21"/>
      <c r="C758" s="18"/>
      <c r="D758" s="20"/>
      <c r="E758" s="20"/>
      <c r="F758" s="21"/>
      <c r="G758" s="21"/>
      <c r="H758" s="18"/>
      <c r="I758" s="30" t="str">
        <f t="shared" si="55"/>
        <v/>
      </c>
      <c r="J758" s="38" t="str">
        <f t="shared" si="56"/>
        <v/>
      </c>
      <c r="K758" s="30" t="str">
        <f t="shared" si="57"/>
        <v/>
      </c>
      <c r="L758" s="30" t="str">
        <f t="shared" si="58"/>
        <v/>
      </c>
      <c r="M758" s="30" t="str">
        <f t="shared" si="59"/>
        <v/>
      </c>
    </row>
    <row r="759" spans="1:13" x14ac:dyDescent="0.2">
      <c r="A759" s="35"/>
      <c r="B759" s="21"/>
      <c r="C759" s="18"/>
      <c r="D759" s="20"/>
      <c r="E759" s="20"/>
      <c r="F759" s="21"/>
      <c r="G759" s="21"/>
      <c r="H759" s="18"/>
      <c r="I759" s="30" t="str">
        <f t="shared" si="55"/>
        <v/>
      </c>
      <c r="J759" s="38" t="str">
        <f t="shared" si="56"/>
        <v/>
      </c>
      <c r="K759" s="30" t="str">
        <f t="shared" si="57"/>
        <v/>
      </c>
      <c r="L759" s="30" t="str">
        <f t="shared" si="58"/>
        <v/>
      </c>
      <c r="M759" s="30" t="str">
        <f t="shared" si="59"/>
        <v/>
      </c>
    </row>
    <row r="760" spans="1:13" x14ac:dyDescent="0.2">
      <c r="A760" s="35"/>
      <c r="B760" s="21"/>
      <c r="C760" s="18"/>
      <c r="D760" s="20"/>
      <c r="E760" s="20"/>
      <c r="F760" s="21"/>
      <c r="G760" s="21"/>
      <c r="H760" s="18"/>
      <c r="I760" s="30" t="str">
        <f t="shared" si="55"/>
        <v/>
      </c>
      <c r="J760" s="38" t="str">
        <f t="shared" si="56"/>
        <v/>
      </c>
      <c r="K760" s="30" t="str">
        <f t="shared" si="57"/>
        <v/>
      </c>
      <c r="L760" s="30" t="str">
        <f t="shared" si="58"/>
        <v/>
      </c>
      <c r="M760" s="30" t="str">
        <f t="shared" si="59"/>
        <v/>
      </c>
    </row>
    <row r="761" spans="1:13" x14ac:dyDescent="0.2">
      <c r="A761" s="35"/>
      <c r="B761" s="21"/>
      <c r="C761" s="18"/>
      <c r="D761" s="20"/>
      <c r="E761" s="20"/>
      <c r="F761" s="21"/>
      <c r="G761" s="21"/>
      <c r="H761" s="18"/>
      <c r="I761" s="30" t="str">
        <f t="shared" si="55"/>
        <v/>
      </c>
      <c r="J761" s="38" t="str">
        <f t="shared" si="56"/>
        <v/>
      </c>
      <c r="K761" s="30" t="str">
        <f t="shared" si="57"/>
        <v/>
      </c>
      <c r="L761" s="30" t="str">
        <f t="shared" si="58"/>
        <v/>
      </c>
      <c r="M761" s="30" t="str">
        <f t="shared" si="59"/>
        <v/>
      </c>
    </row>
    <row r="762" spans="1:13" x14ac:dyDescent="0.2">
      <c r="A762" s="35"/>
      <c r="B762" s="21"/>
      <c r="C762" s="18"/>
      <c r="D762" s="20"/>
      <c r="E762" s="20"/>
      <c r="F762" s="21"/>
      <c r="G762" s="21"/>
      <c r="H762" s="18"/>
      <c r="I762" s="30" t="str">
        <f t="shared" si="55"/>
        <v/>
      </c>
      <c r="J762" s="38" t="str">
        <f t="shared" si="56"/>
        <v/>
      </c>
      <c r="K762" s="30" t="str">
        <f t="shared" si="57"/>
        <v/>
      </c>
      <c r="L762" s="30" t="str">
        <f t="shared" si="58"/>
        <v/>
      </c>
      <c r="M762" s="30" t="str">
        <f t="shared" si="59"/>
        <v/>
      </c>
    </row>
    <row r="763" spans="1:13" x14ac:dyDescent="0.2">
      <c r="A763" s="35"/>
      <c r="B763" s="21"/>
      <c r="C763" s="18"/>
      <c r="D763" s="20"/>
      <c r="E763" s="20"/>
      <c r="F763" s="21"/>
      <c r="G763" s="21"/>
      <c r="H763" s="18"/>
      <c r="I763" s="30" t="str">
        <f t="shared" si="55"/>
        <v/>
      </c>
      <c r="J763" s="38" t="str">
        <f t="shared" si="56"/>
        <v/>
      </c>
      <c r="K763" s="30" t="str">
        <f t="shared" si="57"/>
        <v/>
      </c>
      <c r="L763" s="30" t="str">
        <f t="shared" si="58"/>
        <v/>
      </c>
      <c r="M763" s="30" t="str">
        <f t="shared" si="59"/>
        <v/>
      </c>
    </row>
    <row r="764" spans="1:13" x14ac:dyDescent="0.2">
      <c r="A764" s="35"/>
      <c r="B764" s="21"/>
      <c r="C764" s="18"/>
      <c r="D764" s="20"/>
      <c r="E764" s="20"/>
      <c r="F764" s="21"/>
      <c r="G764" s="21"/>
      <c r="H764" s="18"/>
      <c r="I764" s="30" t="str">
        <f t="shared" si="55"/>
        <v/>
      </c>
      <c r="J764" s="38" t="str">
        <f t="shared" si="56"/>
        <v/>
      </c>
      <c r="K764" s="30" t="str">
        <f t="shared" si="57"/>
        <v/>
      </c>
      <c r="L764" s="30" t="str">
        <f t="shared" si="58"/>
        <v/>
      </c>
      <c r="M764" s="30" t="str">
        <f t="shared" si="59"/>
        <v/>
      </c>
    </row>
    <row r="765" spans="1:13" x14ac:dyDescent="0.2">
      <c r="A765" s="35"/>
      <c r="B765" s="21"/>
      <c r="C765" s="18"/>
      <c r="D765" s="20"/>
      <c r="E765" s="20"/>
      <c r="F765" s="21"/>
      <c r="G765" s="21"/>
      <c r="H765" s="18"/>
      <c r="I765" s="30" t="str">
        <f t="shared" si="55"/>
        <v/>
      </c>
      <c r="J765" s="38" t="str">
        <f t="shared" si="56"/>
        <v/>
      </c>
      <c r="K765" s="30" t="str">
        <f t="shared" si="57"/>
        <v/>
      </c>
      <c r="L765" s="30" t="str">
        <f t="shared" si="58"/>
        <v/>
      </c>
      <c r="M765" s="30" t="str">
        <f t="shared" si="59"/>
        <v/>
      </c>
    </row>
    <row r="766" spans="1:13" x14ac:dyDescent="0.2">
      <c r="A766" s="35"/>
      <c r="B766" s="21"/>
      <c r="C766" s="18"/>
      <c r="D766" s="20"/>
      <c r="E766" s="20"/>
      <c r="F766" s="21"/>
      <c r="G766" s="21"/>
      <c r="H766" s="18"/>
      <c r="I766" s="30" t="str">
        <f t="shared" si="55"/>
        <v/>
      </c>
      <c r="J766" s="38" t="str">
        <f t="shared" si="56"/>
        <v/>
      </c>
      <c r="K766" s="30" t="str">
        <f t="shared" si="57"/>
        <v/>
      </c>
      <c r="L766" s="30" t="str">
        <f t="shared" si="58"/>
        <v/>
      </c>
      <c r="M766" s="30" t="str">
        <f t="shared" si="59"/>
        <v/>
      </c>
    </row>
    <row r="767" spans="1:13" x14ac:dyDescent="0.2">
      <c r="A767" s="35"/>
      <c r="B767" s="21"/>
      <c r="C767" s="18"/>
      <c r="D767" s="20"/>
      <c r="E767" s="20"/>
      <c r="F767" s="21"/>
      <c r="G767" s="21"/>
      <c r="H767" s="18"/>
      <c r="I767" s="30" t="str">
        <f t="shared" si="55"/>
        <v/>
      </c>
      <c r="J767" s="38" t="str">
        <f t="shared" si="56"/>
        <v/>
      </c>
      <c r="K767" s="30" t="str">
        <f t="shared" si="57"/>
        <v/>
      </c>
      <c r="L767" s="30" t="str">
        <f t="shared" si="58"/>
        <v/>
      </c>
      <c r="M767" s="30" t="str">
        <f t="shared" si="59"/>
        <v/>
      </c>
    </row>
    <row r="768" spans="1:13" x14ac:dyDescent="0.2">
      <c r="A768" s="35"/>
      <c r="B768" s="21"/>
      <c r="C768" s="18"/>
      <c r="D768" s="20"/>
      <c r="E768" s="20"/>
      <c r="F768" s="21"/>
      <c r="G768" s="21"/>
      <c r="H768" s="18"/>
      <c r="I768" s="30" t="str">
        <f t="shared" si="55"/>
        <v/>
      </c>
      <c r="J768" s="38" t="str">
        <f t="shared" si="56"/>
        <v/>
      </c>
      <c r="K768" s="30" t="str">
        <f t="shared" si="57"/>
        <v/>
      </c>
      <c r="L768" s="30" t="str">
        <f t="shared" si="58"/>
        <v/>
      </c>
      <c r="M768" s="30" t="str">
        <f t="shared" si="59"/>
        <v/>
      </c>
    </row>
    <row r="769" spans="1:13" x14ac:dyDescent="0.2">
      <c r="A769" s="35"/>
      <c r="B769" s="21"/>
      <c r="C769" s="18"/>
      <c r="D769" s="20"/>
      <c r="E769" s="20"/>
      <c r="F769" s="21"/>
      <c r="G769" s="21"/>
      <c r="H769" s="18"/>
      <c r="I769" s="30" t="str">
        <f t="shared" si="55"/>
        <v/>
      </c>
      <c r="J769" s="38" t="str">
        <f t="shared" si="56"/>
        <v/>
      </c>
      <c r="K769" s="30" t="str">
        <f t="shared" si="57"/>
        <v/>
      </c>
      <c r="L769" s="30" t="str">
        <f t="shared" si="58"/>
        <v/>
      </c>
      <c r="M769" s="30" t="str">
        <f t="shared" si="59"/>
        <v/>
      </c>
    </row>
    <row r="770" spans="1:13" x14ac:dyDescent="0.2">
      <c r="A770" s="35"/>
      <c r="B770" s="21"/>
      <c r="C770" s="18"/>
      <c r="D770" s="20"/>
      <c r="E770" s="20"/>
      <c r="F770" s="21"/>
      <c r="G770" s="21"/>
      <c r="H770" s="18"/>
      <c r="I770" s="30" t="str">
        <f t="shared" si="55"/>
        <v/>
      </c>
      <c r="J770" s="38" t="str">
        <f t="shared" si="56"/>
        <v/>
      </c>
      <c r="K770" s="30" t="str">
        <f t="shared" si="57"/>
        <v/>
      </c>
      <c r="L770" s="30" t="str">
        <f t="shared" si="58"/>
        <v/>
      </c>
      <c r="M770" s="30" t="str">
        <f t="shared" si="59"/>
        <v/>
      </c>
    </row>
    <row r="771" spans="1:13" x14ac:dyDescent="0.2">
      <c r="A771" s="35"/>
      <c r="B771" s="21"/>
      <c r="C771" s="18"/>
      <c r="D771" s="20"/>
      <c r="E771" s="20"/>
      <c r="F771" s="21"/>
      <c r="G771" s="21"/>
      <c r="H771" s="18"/>
      <c r="I771" s="30" t="str">
        <f t="shared" si="55"/>
        <v/>
      </c>
      <c r="J771" s="38" t="str">
        <f t="shared" si="56"/>
        <v/>
      </c>
      <c r="K771" s="30" t="str">
        <f t="shared" si="57"/>
        <v/>
      </c>
      <c r="L771" s="30" t="str">
        <f t="shared" si="58"/>
        <v/>
      </c>
      <c r="M771" s="30" t="str">
        <f t="shared" si="59"/>
        <v/>
      </c>
    </row>
    <row r="772" spans="1:13" x14ac:dyDescent="0.2">
      <c r="A772" s="35"/>
      <c r="B772" s="21"/>
      <c r="C772" s="18"/>
      <c r="D772" s="20"/>
      <c r="E772" s="20"/>
      <c r="F772" s="21"/>
      <c r="G772" s="21"/>
      <c r="H772" s="18"/>
      <c r="I772" s="30" t="str">
        <f t="shared" si="55"/>
        <v/>
      </c>
      <c r="J772" s="38" t="str">
        <f t="shared" si="56"/>
        <v/>
      </c>
      <c r="K772" s="30" t="str">
        <f t="shared" si="57"/>
        <v/>
      </c>
      <c r="L772" s="30" t="str">
        <f t="shared" si="58"/>
        <v/>
      </c>
      <c r="M772" s="30" t="str">
        <f t="shared" si="59"/>
        <v/>
      </c>
    </row>
    <row r="773" spans="1:13" x14ac:dyDescent="0.2">
      <c r="A773" s="35"/>
      <c r="B773" s="21"/>
      <c r="C773" s="18"/>
      <c r="D773" s="20"/>
      <c r="E773" s="20"/>
      <c r="F773" s="21"/>
      <c r="G773" s="21"/>
      <c r="H773" s="18"/>
      <c r="I773" s="30" t="str">
        <f t="shared" si="55"/>
        <v/>
      </c>
      <c r="J773" s="38" t="str">
        <f t="shared" si="56"/>
        <v/>
      </c>
      <c r="K773" s="30" t="str">
        <f t="shared" si="57"/>
        <v/>
      </c>
      <c r="L773" s="30" t="str">
        <f t="shared" si="58"/>
        <v/>
      </c>
      <c r="M773" s="30" t="str">
        <f t="shared" si="59"/>
        <v/>
      </c>
    </row>
    <row r="774" spans="1:13" x14ac:dyDescent="0.2">
      <c r="A774" s="35"/>
      <c r="B774" s="21"/>
      <c r="C774" s="18"/>
      <c r="D774" s="20"/>
      <c r="E774" s="20"/>
      <c r="F774" s="21"/>
      <c r="G774" s="21"/>
      <c r="H774" s="18"/>
      <c r="I774" s="30" t="str">
        <f t="shared" ref="I774:I837" si="60">IF(OR(D774="",E774=""),"",ROUND(MOD(E774-D774,1)*1440,0))</f>
        <v/>
      </c>
      <c r="J774" s="38" t="str">
        <f t="shared" ref="J774:J837" si="61">IF(F774="","",IFERROR(INDEX(LYDO_TEN,MATCH(F774,DS_LYDO,0)),"?"))</f>
        <v/>
      </c>
      <c r="K774" s="30" t="str">
        <f t="shared" ref="K774:K837" si="62">IF(F774="","",IFERROR(INDEX(LYDO_LOAI,MATCH(F774,DS_LYDO,0)),"?"))</f>
        <v/>
      </c>
      <c r="L774" s="30" t="str">
        <f t="shared" ref="L774:L837" si="63">IF(F774="","",IFERROR(INDEX(LYDO_BP,MATCH(F774,DS_LYDO,0)),"?"))</f>
        <v/>
      </c>
      <c r="M774" s="30" t="str">
        <f t="shared" ref="M774:M837" si="64">IF(I774="","",IF(MOD(I774,5)=0,1,0))</f>
        <v/>
      </c>
    </row>
    <row r="775" spans="1:13" x14ac:dyDescent="0.2">
      <c r="A775" s="35"/>
      <c r="B775" s="21"/>
      <c r="C775" s="18"/>
      <c r="D775" s="20"/>
      <c r="E775" s="20"/>
      <c r="F775" s="21"/>
      <c r="G775" s="21"/>
      <c r="H775" s="18"/>
      <c r="I775" s="30" t="str">
        <f t="shared" si="60"/>
        <v/>
      </c>
      <c r="J775" s="38" t="str">
        <f t="shared" si="61"/>
        <v/>
      </c>
      <c r="K775" s="30" t="str">
        <f t="shared" si="62"/>
        <v/>
      </c>
      <c r="L775" s="30" t="str">
        <f t="shared" si="63"/>
        <v/>
      </c>
      <c r="M775" s="30" t="str">
        <f t="shared" si="64"/>
        <v/>
      </c>
    </row>
    <row r="776" spans="1:13" x14ac:dyDescent="0.2">
      <c r="A776" s="35"/>
      <c r="B776" s="21"/>
      <c r="C776" s="18"/>
      <c r="D776" s="20"/>
      <c r="E776" s="20"/>
      <c r="F776" s="21"/>
      <c r="G776" s="21"/>
      <c r="H776" s="18"/>
      <c r="I776" s="30" t="str">
        <f t="shared" si="60"/>
        <v/>
      </c>
      <c r="J776" s="38" t="str">
        <f t="shared" si="61"/>
        <v/>
      </c>
      <c r="K776" s="30" t="str">
        <f t="shared" si="62"/>
        <v/>
      </c>
      <c r="L776" s="30" t="str">
        <f t="shared" si="63"/>
        <v/>
      </c>
      <c r="M776" s="30" t="str">
        <f t="shared" si="64"/>
        <v/>
      </c>
    </row>
    <row r="777" spans="1:13" x14ac:dyDescent="0.2">
      <c r="A777" s="35"/>
      <c r="B777" s="21"/>
      <c r="C777" s="18"/>
      <c r="D777" s="20"/>
      <c r="E777" s="20"/>
      <c r="F777" s="21"/>
      <c r="G777" s="21"/>
      <c r="H777" s="18"/>
      <c r="I777" s="30" t="str">
        <f t="shared" si="60"/>
        <v/>
      </c>
      <c r="J777" s="38" t="str">
        <f t="shared" si="61"/>
        <v/>
      </c>
      <c r="K777" s="30" t="str">
        <f t="shared" si="62"/>
        <v/>
      </c>
      <c r="L777" s="30" t="str">
        <f t="shared" si="63"/>
        <v/>
      </c>
      <c r="M777" s="30" t="str">
        <f t="shared" si="64"/>
        <v/>
      </c>
    </row>
    <row r="778" spans="1:13" x14ac:dyDescent="0.2">
      <c r="A778" s="35"/>
      <c r="B778" s="21"/>
      <c r="C778" s="18"/>
      <c r="D778" s="20"/>
      <c r="E778" s="20"/>
      <c r="F778" s="21"/>
      <c r="G778" s="21"/>
      <c r="H778" s="18"/>
      <c r="I778" s="30" t="str">
        <f t="shared" si="60"/>
        <v/>
      </c>
      <c r="J778" s="38" t="str">
        <f t="shared" si="61"/>
        <v/>
      </c>
      <c r="K778" s="30" t="str">
        <f t="shared" si="62"/>
        <v/>
      </c>
      <c r="L778" s="30" t="str">
        <f t="shared" si="63"/>
        <v/>
      </c>
      <c r="M778" s="30" t="str">
        <f t="shared" si="64"/>
        <v/>
      </c>
    </row>
    <row r="779" spans="1:13" x14ac:dyDescent="0.2">
      <c r="A779" s="35"/>
      <c r="B779" s="21"/>
      <c r="C779" s="18"/>
      <c r="D779" s="20"/>
      <c r="E779" s="20"/>
      <c r="F779" s="21"/>
      <c r="G779" s="21"/>
      <c r="H779" s="18"/>
      <c r="I779" s="30" t="str">
        <f t="shared" si="60"/>
        <v/>
      </c>
      <c r="J779" s="38" t="str">
        <f t="shared" si="61"/>
        <v/>
      </c>
      <c r="K779" s="30" t="str">
        <f t="shared" si="62"/>
        <v/>
      </c>
      <c r="L779" s="30" t="str">
        <f t="shared" si="63"/>
        <v/>
      </c>
      <c r="M779" s="30" t="str">
        <f t="shared" si="64"/>
        <v/>
      </c>
    </row>
    <row r="780" spans="1:13" x14ac:dyDescent="0.2">
      <c r="A780" s="35"/>
      <c r="B780" s="21"/>
      <c r="C780" s="18"/>
      <c r="D780" s="20"/>
      <c r="E780" s="20"/>
      <c r="F780" s="21"/>
      <c r="G780" s="21"/>
      <c r="H780" s="18"/>
      <c r="I780" s="30" t="str">
        <f t="shared" si="60"/>
        <v/>
      </c>
      <c r="J780" s="38" t="str">
        <f t="shared" si="61"/>
        <v/>
      </c>
      <c r="K780" s="30" t="str">
        <f t="shared" si="62"/>
        <v/>
      </c>
      <c r="L780" s="30" t="str">
        <f t="shared" si="63"/>
        <v/>
      </c>
      <c r="M780" s="30" t="str">
        <f t="shared" si="64"/>
        <v/>
      </c>
    </row>
    <row r="781" spans="1:13" x14ac:dyDescent="0.2">
      <c r="A781" s="35"/>
      <c r="B781" s="21"/>
      <c r="C781" s="18"/>
      <c r="D781" s="20"/>
      <c r="E781" s="20"/>
      <c r="F781" s="21"/>
      <c r="G781" s="21"/>
      <c r="H781" s="18"/>
      <c r="I781" s="30" t="str">
        <f t="shared" si="60"/>
        <v/>
      </c>
      <c r="J781" s="38" t="str">
        <f t="shared" si="61"/>
        <v/>
      </c>
      <c r="K781" s="30" t="str">
        <f t="shared" si="62"/>
        <v/>
      </c>
      <c r="L781" s="30" t="str">
        <f t="shared" si="63"/>
        <v/>
      </c>
      <c r="M781" s="30" t="str">
        <f t="shared" si="64"/>
        <v/>
      </c>
    </row>
    <row r="782" spans="1:13" x14ac:dyDescent="0.2">
      <c r="A782" s="35"/>
      <c r="B782" s="21"/>
      <c r="C782" s="18"/>
      <c r="D782" s="20"/>
      <c r="E782" s="20"/>
      <c r="F782" s="21"/>
      <c r="G782" s="21"/>
      <c r="H782" s="18"/>
      <c r="I782" s="30" t="str">
        <f t="shared" si="60"/>
        <v/>
      </c>
      <c r="J782" s="38" t="str">
        <f t="shared" si="61"/>
        <v/>
      </c>
      <c r="K782" s="30" t="str">
        <f t="shared" si="62"/>
        <v/>
      </c>
      <c r="L782" s="30" t="str">
        <f t="shared" si="63"/>
        <v/>
      </c>
      <c r="M782" s="30" t="str">
        <f t="shared" si="64"/>
        <v/>
      </c>
    </row>
    <row r="783" spans="1:13" x14ac:dyDescent="0.2">
      <c r="A783" s="35"/>
      <c r="B783" s="21"/>
      <c r="C783" s="18"/>
      <c r="D783" s="20"/>
      <c r="E783" s="20"/>
      <c r="F783" s="21"/>
      <c r="G783" s="21"/>
      <c r="H783" s="18"/>
      <c r="I783" s="30" t="str">
        <f t="shared" si="60"/>
        <v/>
      </c>
      <c r="J783" s="38" t="str">
        <f t="shared" si="61"/>
        <v/>
      </c>
      <c r="K783" s="30" t="str">
        <f t="shared" si="62"/>
        <v/>
      </c>
      <c r="L783" s="30" t="str">
        <f t="shared" si="63"/>
        <v/>
      </c>
      <c r="M783" s="30" t="str">
        <f t="shared" si="64"/>
        <v/>
      </c>
    </row>
    <row r="784" spans="1:13" x14ac:dyDescent="0.2">
      <c r="A784" s="35"/>
      <c r="B784" s="21"/>
      <c r="C784" s="18"/>
      <c r="D784" s="20"/>
      <c r="E784" s="20"/>
      <c r="F784" s="21"/>
      <c r="G784" s="21"/>
      <c r="H784" s="18"/>
      <c r="I784" s="30" t="str">
        <f t="shared" si="60"/>
        <v/>
      </c>
      <c r="J784" s="38" t="str">
        <f t="shared" si="61"/>
        <v/>
      </c>
      <c r="K784" s="30" t="str">
        <f t="shared" si="62"/>
        <v/>
      </c>
      <c r="L784" s="30" t="str">
        <f t="shared" si="63"/>
        <v/>
      </c>
      <c r="M784" s="30" t="str">
        <f t="shared" si="64"/>
        <v/>
      </c>
    </row>
    <row r="785" spans="1:13" x14ac:dyDescent="0.2">
      <c r="A785" s="35"/>
      <c r="B785" s="21"/>
      <c r="C785" s="18"/>
      <c r="D785" s="20"/>
      <c r="E785" s="20"/>
      <c r="F785" s="21"/>
      <c r="G785" s="21"/>
      <c r="H785" s="18"/>
      <c r="I785" s="30" t="str">
        <f t="shared" si="60"/>
        <v/>
      </c>
      <c r="J785" s="38" t="str">
        <f t="shared" si="61"/>
        <v/>
      </c>
      <c r="K785" s="30" t="str">
        <f t="shared" si="62"/>
        <v/>
      </c>
      <c r="L785" s="30" t="str">
        <f t="shared" si="63"/>
        <v/>
      </c>
      <c r="M785" s="30" t="str">
        <f t="shared" si="64"/>
        <v/>
      </c>
    </row>
    <row r="786" spans="1:13" x14ac:dyDescent="0.2">
      <c r="A786" s="35"/>
      <c r="B786" s="21"/>
      <c r="C786" s="18"/>
      <c r="D786" s="20"/>
      <c r="E786" s="20"/>
      <c r="F786" s="21"/>
      <c r="G786" s="21"/>
      <c r="H786" s="18"/>
      <c r="I786" s="30" t="str">
        <f t="shared" si="60"/>
        <v/>
      </c>
      <c r="J786" s="38" t="str">
        <f t="shared" si="61"/>
        <v/>
      </c>
      <c r="K786" s="30" t="str">
        <f t="shared" si="62"/>
        <v/>
      </c>
      <c r="L786" s="30" t="str">
        <f t="shared" si="63"/>
        <v/>
      </c>
      <c r="M786" s="30" t="str">
        <f t="shared" si="64"/>
        <v/>
      </c>
    </row>
    <row r="787" spans="1:13" x14ac:dyDescent="0.2">
      <c r="A787" s="35"/>
      <c r="B787" s="21"/>
      <c r="C787" s="18"/>
      <c r="D787" s="20"/>
      <c r="E787" s="20"/>
      <c r="F787" s="21"/>
      <c r="G787" s="21"/>
      <c r="H787" s="18"/>
      <c r="I787" s="30" t="str">
        <f t="shared" si="60"/>
        <v/>
      </c>
      <c r="J787" s="38" t="str">
        <f t="shared" si="61"/>
        <v/>
      </c>
      <c r="K787" s="30" t="str">
        <f t="shared" si="62"/>
        <v/>
      </c>
      <c r="L787" s="30" t="str">
        <f t="shared" si="63"/>
        <v/>
      </c>
      <c r="M787" s="30" t="str">
        <f t="shared" si="64"/>
        <v/>
      </c>
    </row>
    <row r="788" spans="1:13" x14ac:dyDescent="0.2">
      <c r="A788" s="35"/>
      <c r="B788" s="21"/>
      <c r="C788" s="18"/>
      <c r="D788" s="20"/>
      <c r="E788" s="20"/>
      <c r="F788" s="21"/>
      <c r="G788" s="21"/>
      <c r="H788" s="18"/>
      <c r="I788" s="30" t="str">
        <f t="shared" si="60"/>
        <v/>
      </c>
      <c r="J788" s="38" t="str">
        <f t="shared" si="61"/>
        <v/>
      </c>
      <c r="K788" s="30" t="str">
        <f t="shared" si="62"/>
        <v/>
      </c>
      <c r="L788" s="30" t="str">
        <f t="shared" si="63"/>
        <v/>
      </c>
      <c r="M788" s="30" t="str">
        <f t="shared" si="64"/>
        <v/>
      </c>
    </row>
    <row r="789" spans="1:13" x14ac:dyDescent="0.2">
      <c r="A789" s="35"/>
      <c r="B789" s="21"/>
      <c r="C789" s="18"/>
      <c r="D789" s="20"/>
      <c r="E789" s="20"/>
      <c r="F789" s="21"/>
      <c r="G789" s="21"/>
      <c r="H789" s="18"/>
      <c r="I789" s="30" t="str">
        <f t="shared" si="60"/>
        <v/>
      </c>
      <c r="J789" s="38" t="str">
        <f t="shared" si="61"/>
        <v/>
      </c>
      <c r="K789" s="30" t="str">
        <f t="shared" si="62"/>
        <v/>
      </c>
      <c r="L789" s="30" t="str">
        <f t="shared" si="63"/>
        <v/>
      </c>
      <c r="M789" s="30" t="str">
        <f t="shared" si="64"/>
        <v/>
      </c>
    </row>
    <row r="790" spans="1:13" x14ac:dyDescent="0.2">
      <c r="A790" s="35"/>
      <c r="B790" s="21"/>
      <c r="C790" s="18"/>
      <c r="D790" s="20"/>
      <c r="E790" s="20"/>
      <c r="F790" s="21"/>
      <c r="G790" s="21"/>
      <c r="H790" s="18"/>
      <c r="I790" s="30" t="str">
        <f t="shared" si="60"/>
        <v/>
      </c>
      <c r="J790" s="38" t="str">
        <f t="shared" si="61"/>
        <v/>
      </c>
      <c r="K790" s="30" t="str">
        <f t="shared" si="62"/>
        <v/>
      </c>
      <c r="L790" s="30" t="str">
        <f t="shared" si="63"/>
        <v/>
      </c>
      <c r="M790" s="30" t="str">
        <f t="shared" si="64"/>
        <v/>
      </c>
    </row>
    <row r="791" spans="1:13" x14ac:dyDescent="0.2">
      <c r="A791" s="35"/>
      <c r="B791" s="21"/>
      <c r="C791" s="18"/>
      <c r="D791" s="20"/>
      <c r="E791" s="20"/>
      <c r="F791" s="21"/>
      <c r="G791" s="21"/>
      <c r="H791" s="18"/>
      <c r="I791" s="30" t="str">
        <f t="shared" si="60"/>
        <v/>
      </c>
      <c r="J791" s="38" t="str">
        <f t="shared" si="61"/>
        <v/>
      </c>
      <c r="K791" s="30" t="str">
        <f t="shared" si="62"/>
        <v/>
      </c>
      <c r="L791" s="30" t="str">
        <f t="shared" si="63"/>
        <v/>
      </c>
      <c r="M791" s="30" t="str">
        <f t="shared" si="64"/>
        <v/>
      </c>
    </row>
    <row r="792" spans="1:13" x14ac:dyDescent="0.2">
      <c r="A792" s="35"/>
      <c r="B792" s="21"/>
      <c r="C792" s="18"/>
      <c r="D792" s="20"/>
      <c r="E792" s="20"/>
      <c r="F792" s="21"/>
      <c r="G792" s="21"/>
      <c r="H792" s="18"/>
      <c r="I792" s="30" t="str">
        <f t="shared" si="60"/>
        <v/>
      </c>
      <c r="J792" s="38" t="str">
        <f t="shared" si="61"/>
        <v/>
      </c>
      <c r="K792" s="30" t="str">
        <f t="shared" si="62"/>
        <v/>
      </c>
      <c r="L792" s="30" t="str">
        <f t="shared" si="63"/>
        <v/>
      </c>
      <c r="M792" s="30" t="str">
        <f t="shared" si="64"/>
        <v/>
      </c>
    </row>
    <row r="793" spans="1:13" x14ac:dyDescent="0.2">
      <c r="A793" s="35"/>
      <c r="B793" s="21"/>
      <c r="C793" s="18"/>
      <c r="D793" s="20"/>
      <c r="E793" s="20"/>
      <c r="F793" s="21"/>
      <c r="G793" s="21"/>
      <c r="H793" s="18"/>
      <c r="I793" s="30" t="str">
        <f t="shared" si="60"/>
        <v/>
      </c>
      <c r="J793" s="38" t="str">
        <f t="shared" si="61"/>
        <v/>
      </c>
      <c r="K793" s="30" t="str">
        <f t="shared" si="62"/>
        <v/>
      </c>
      <c r="L793" s="30" t="str">
        <f t="shared" si="63"/>
        <v/>
      </c>
      <c r="M793" s="30" t="str">
        <f t="shared" si="64"/>
        <v/>
      </c>
    </row>
    <row r="794" spans="1:13" x14ac:dyDescent="0.2">
      <c r="A794" s="35"/>
      <c r="B794" s="21"/>
      <c r="C794" s="18"/>
      <c r="D794" s="20"/>
      <c r="E794" s="20"/>
      <c r="F794" s="21"/>
      <c r="G794" s="21"/>
      <c r="H794" s="18"/>
      <c r="I794" s="30" t="str">
        <f t="shared" si="60"/>
        <v/>
      </c>
      <c r="J794" s="38" t="str">
        <f t="shared" si="61"/>
        <v/>
      </c>
      <c r="K794" s="30" t="str">
        <f t="shared" si="62"/>
        <v/>
      </c>
      <c r="L794" s="30" t="str">
        <f t="shared" si="63"/>
        <v/>
      </c>
      <c r="M794" s="30" t="str">
        <f t="shared" si="64"/>
        <v/>
      </c>
    </row>
    <row r="795" spans="1:13" x14ac:dyDescent="0.2">
      <c r="A795" s="35"/>
      <c r="B795" s="21"/>
      <c r="C795" s="18"/>
      <c r="D795" s="20"/>
      <c r="E795" s="20"/>
      <c r="F795" s="21"/>
      <c r="G795" s="21"/>
      <c r="H795" s="18"/>
      <c r="I795" s="30" t="str">
        <f t="shared" si="60"/>
        <v/>
      </c>
      <c r="J795" s="38" t="str">
        <f t="shared" si="61"/>
        <v/>
      </c>
      <c r="K795" s="30" t="str">
        <f t="shared" si="62"/>
        <v/>
      </c>
      <c r="L795" s="30" t="str">
        <f t="shared" si="63"/>
        <v/>
      </c>
      <c r="M795" s="30" t="str">
        <f t="shared" si="64"/>
        <v/>
      </c>
    </row>
    <row r="796" spans="1:13" x14ac:dyDescent="0.2">
      <c r="A796" s="35"/>
      <c r="B796" s="21"/>
      <c r="C796" s="18"/>
      <c r="D796" s="20"/>
      <c r="E796" s="20"/>
      <c r="F796" s="21"/>
      <c r="G796" s="21"/>
      <c r="H796" s="18"/>
      <c r="I796" s="30" t="str">
        <f t="shared" si="60"/>
        <v/>
      </c>
      <c r="J796" s="38" t="str">
        <f t="shared" si="61"/>
        <v/>
      </c>
      <c r="K796" s="30" t="str">
        <f t="shared" si="62"/>
        <v/>
      </c>
      <c r="L796" s="30" t="str">
        <f t="shared" si="63"/>
        <v/>
      </c>
      <c r="M796" s="30" t="str">
        <f t="shared" si="64"/>
        <v/>
      </c>
    </row>
    <row r="797" spans="1:13" x14ac:dyDescent="0.2">
      <c r="A797" s="35"/>
      <c r="B797" s="21"/>
      <c r="C797" s="18"/>
      <c r="D797" s="20"/>
      <c r="E797" s="20"/>
      <c r="F797" s="21"/>
      <c r="G797" s="21"/>
      <c r="H797" s="18"/>
      <c r="I797" s="30" t="str">
        <f t="shared" si="60"/>
        <v/>
      </c>
      <c r="J797" s="38" t="str">
        <f t="shared" si="61"/>
        <v/>
      </c>
      <c r="K797" s="30" t="str">
        <f t="shared" si="62"/>
        <v/>
      </c>
      <c r="L797" s="30" t="str">
        <f t="shared" si="63"/>
        <v/>
      </c>
      <c r="M797" s="30" t="str">
        <f t="shared" si="64"/>
        <v/>
      </c>
    </row>
    <row r="798" spans="1:13" x14ac:dyDescent="0.2">
      <c r="A798" s="35"/>
      <c r="B798" s="21"/>
      <c r="C798" s="18"/>
      <c r="D798" s="20"/>
      <c r="E798" s="20"/>
      <c r="F798" s="21"/>
      <c r="G798" s="21"/>
      <c r="H798" s="18"/>
      <c r="I798" s="30" t="str">
        <f t="shared" si="60"/>
        <v/>
      </c>
      <c r="J798" s="38" t="str">
        <f t="shared" si="61"/>
        <v/>
      </c>
      <c r="K798" s="30" t="str">
        <f t="shared" si="62"/>
        <v/>
      </c>
      <c r="L798" s="30" t="str">
        <f t="shared" si="63"/>
        <v/>
      </c>
      <c r="M798" s="30" t="str">
        <f t="shared" si="64"/>
        <v/>
      </c>
    </row>
    <row r="799" spans="1:13" x14ac:dyDescent="0.2">
      <c r="A799" s="35"/>
      <c r="B799" s="21"/>
      <c r="C799" s="18"/>
      <c r="D799" s="20"/>
      <c r="E799" s="20"/>
      <c r="F799" s="21"/>
      <c r="G799" s="21"/>
      <c r="H799" s="18"/>
      <c r="I799" s="30" t="str">
        <f t="shared" si="60"/>
        <v/>
      </c>
      <c r="J799" s="38" t="str">
        <f t="shared" si="61"/>
        <v/>
      </c>
      <c r="K799" s="30" t="str">
        <f t="shared" si="62"/>
        <v/>
      </c>
      <c r="L799" s="30" t="str">
        <f t="shared" si="63"/>
        <v/>
      </c>
      <c r="M799" s="30" t="str">
        <f t="shared" si="64"/>
        <v/>
      </c>
    </row>
    <row r="800" spans="1:13" x14ac:dyDescent="0.2">
      <c r="A800" s="35"/>
      <c r="B800" s="21"/>
      <c r="C800" s="18"/>
      <c r="D800" s="20"/>
      <c r="E800" s="20"/>
      <c r="F800" s="21"/>
      <c r="G800" s="21"/>
      <c r="H800" s="18"/>
      <c r="I800" s="30" t="str">
        <f t="shared" si="60"/>
        <v/>
      </c>
      <c r="J800" s="38" t="str">
        <f t="shared" si="61"/>
        <v/>
      </c>
      <c r="K800" s="30" t="str">
        <f t="shared" si="62"/>
        <v/>
      </c>
      <c r="L800" s="30" t="str">
        <f t="shared" si="63"/>
        <v/>
      </c>
      <c r="M800" s="30" t="str">
        <f t="shared" si="64"/>
        <v/>
      </c>
    </row>
    <row r="801" spans="1:13" x14ac:dyDescent="0.2">
      <c r="A801" s="35"/>
      <c r="B801" s="21"/>
      <c r="C801" s="18"/>
      <c r="D801" s="20"/>
      <c r="E801" s="20"/>
      <c r="F801" s="21"/>
      <c r="G801" s="21"/>
      <c r="H801" s="18"/>
      <c r="I801" s="30" t="str">
        <f t="shared" si="60"/>
        <v/>
      </c>
      <c r="J801" s="38" t="str">
        <f t="shared" si="61"/>
        <v/>
      </c>
      <c r="K801" s="30" t="str">
        <f t="shared" si="62"/>
        <v/>
      </c>
      <c r="L801" s="30" t="str">
        <f t="shared" si="63"/>
        <v/>
      </c>
      <c r="M801" s="30" t="str">
        <f t="shared" si="64"/>
        <v/>
      </c>
    </row>
    <row r="802" spans="1:13" x14ac:dyDescent="0.2">
      <c r="A802" s="35"/>
      <c r="B802" s="21"/>
      <c r="C802" s="18"/>
      <c r="D802" s="20"/>
      <c r="E802" s="20"/>
      <c r="F802" s="21"/>
      <c r="G802" s="21"/>
      <c r="H802" s="18"/>
      <c r="I802" s="30" t="str">
        <f t="shared" si="60"/>
        <v/>
      </c>
      <c r="J802" s="38" t="str">
        <f t="shared" si="61"/>
        <v/>
      </c>
      <c r="K802" s="30" t="str">
        <f t="shared" si="62"/>
        <v/>
      </c>
      <c r="L802" s="30" t="str">
        <f t="shared" si="63"/>
        <v/>
      </c>
      <c r="M802" s="30" t="str">
        <f t="shared" si="64"/>
        <v/>
      </c>
    </row>
    <row r="803" spans="1:13" x14ac:dyDescent="0.2">
      <c r="A803" s="35"/>
      <c r="B803" s="21"/>
      <c r="C803" s="18"/>
      <c r="D803" s="20"/>
      <c r="E803" s="20"/>
      <c r="F803" s="21"/>
      <c r="G803" s="21"/>
      <c r="H803" s="18"/>
      <c r="I803" s="30" t="str">
        <f t="shared" si="60"/>
        <v/>
      </c>
      <c r="J803" s="38" t="str">
        <f t="shared" si="61"/>
        <v/>
      </c>
      <c r="K803" s="30" t="str">
        <f t="shared" si="62"/>
        <v/>
      </c>
      <c r="L803" s="30" t="str">
        <f t="shared" si="63"/>
        <v/>
      </c>
      <c r="M803" s="30" t="str">
        <f t="shared" si="64"/>
        <v/>
      </c>
    </row>
    <row r="804" spans="1:13" x14ac:dyDescent="0.2">
      <c r="A804" s="35"/>
      <c r="B804" s="21"/>
      <c r="C804" s="18"/>
      <c r="D804" s="20"/>
      <c r="E804" s="20"/>
      <c r="F804" s="21"/>
      <c r="G804" s="21"/>
      <c r="H804" s="18"/>
      <c r="I804" s="30" t="str">
        <f t="shared" si="60"/>
        <v/>
      </c>
      <c r="J804" s="38" t="str">
        <f t="shared" si="61"/>
        <v/>
      </c>
      <c r="K804" s="30" t="str">
        <f t="shared" si="62"/>
        <v/>
      </c>
      <c r="L804" s="30" t="str">
        <f t="shared" si="63"/>
        <v/>
      </c>
      <c r="M804" s="30" t="str">
        <f t="shared" si="64"/>
        <v/>
      </c>
    </row>
    <row r="805" spans="1:13" x14ac:dyDescent="0.2">
      <c r="A805" s="35"/>
      <c r="B805" s="21"/>
      <c r="C805" s="18"/>
      <c r="D805" s="20"/>
      <c r="E805" s="20"/>
      <c r="F805" s="21"/>
      <c r="G805" s="21"/>
      <c r="H805" s="18"/>
      <c r="I805" s="30" t="str">
        <f t="shared" si="60"/>
        <v/>
      </c>
      <c r="J805" s="38" t="str">
        <f t="shared" si="61"/>
        <v/>
      </c>
      <c r="K805" s="30" t="str">
        <f t="shared" si="62"/>
        <v/>
      </c>
      <c r="L805" s="30" t="str">
        <f t="shared" si="63"/>
        <v/>
      </c>
      <c r="M805" s="30" t="str">
        <f t="shared" si="64"/>
        <v/>
      </c>
    </row>
    <row r="806" spans="1:13" x14ac:dyDescent="0.2">
      <c r="A806" s="35"/>
      <c r="B806" s="21"/>
      <c r="C806" s="18"/>
      <c r="D806" s="20"/>
      <c r="E806" s="20"/>
      <c r="F806" s="21"/>
      <c r="G806" s="21"/>
      <c r="H806" s="18"/>
      <c r="I806" s="30" t="str">
        <f t="shared" si="60"/>
        <v/>
      </c>
      <c r="J806" s="38" t="str">
        <f t="shared" si="61"/>
        <v/>
      </c>
      <c r="K806" s="30" t="str">
        <f t="shared" si="62"/>
        <v/>
      </c>
      <c r="L806" s="30" t="str">
        <f t="shared" si="63"/>
        <v/>
      </c>
      <c r="M806" s="30" t="str">
        <f t="shared" si="64"/>
        <v/>
      </c>
    </row>
    <row r="807" spans="1:13" x14ac:dyDescent="0.2">
      <c r="A807" s="35"/>
      <c r="B807" s="21"/>
      <c r="C807" s="18"/>
      <c r="D807" s="20"/>
      <c r="E807" s="20"/>
      <c r="F807" s="21"/>
      <c r="G807" s="21"/>
      <c r="H807" s="18"/>
      <c r="I807" s="30" t="str">
        <f t="shared" si="60"/>
        <v/>
      </c>
      <c r="J807" s="38" t="str">
        <f t="shared" si="61"/>
        <v/>
      </c>
      <c r="K807" s="30" t="str">
        <f t="shared" si="62"/>
        <v/>
      </c>
      <c r="L807" s="30" t="str">
        <f t="shared" si="63"/>
        <v/>
      </c>
      <c r="M807" s="30" t="str">
        <f t="shared" si="64"/>
        <v/>
      </c>
    </row>
    <row r="808" spans="1:13" x14ac:dyDescent="0.2">
      <c r="A808" s="35"/>
      <c r="B808" s="21"/>
      <c r="C808" s="18"/>
      <c r="D808" s="20"/>
      <c r="E808" s="20"/>
      <c r="F808" s="21"/>
      <c r="G808" s="21"/>
      <c r="H808" s="18"/>
      <c r="I808" s="30" t="str">
        <f t="shared" si="60"/>
        <v/>
      </c>
      <c r="J808" s="38" t="str">
        <f t="shared" si="61"/>
        <v/>
      </c>
      <c r="K808" s="30" t="str">
        <f t="shared" si="62"/>
        <v/>
      </c>
      <c r="L808" s="30" t="str">
        <f t="shared" si="63"/>
        <v/>
      </c>
      <c r="M808" s="30" t="str">
        <f t="shared" si="64"/>
        <v/>
      </c>
    </row>
    <row r="809" spans="1:13" x14ac:dyDescent="0.2">
      <c r="A809" s="35"/>
      <c r="B809" s="21"/>
      <c r="C809" s="18"/>
      <c r="D809" s="20"/>
      <c r="E809" s="20"/>
      <c r="F809" s="21"/>
      <c r="G809" s="21"/>
      <c r="H809" s="18"/>
      <c r="I809" s="30" t="str">
        <f t="shared" si="60"/>
        <v/>
      </c>
      <c r="J809" s="38" t="str">
        <f t="shared" si="61"/>
        <v/>
      </c>
      <c r="K809" s="30" t="str">
        <f t="shared" si="62"/>
        <v/>
      </c>
      <c r="L809" s="30" t="str">
        <f t="shared" si="63"/>
        <v/>
      </c>
      <c r="M809" s="30" t="str">
        <f t="shared" si="64"/>
        <v/>
      </c>
    </row>
    <row r="810" spans="1:13" x14ac:dyDescent="0.2">
      <c r="A810" s="35"/>
      <c r="B810" s="21"/>
      <c r="C810" s="18"/>
      <c r="D810" s="20"/>
      <c r="E810" s="20"/>
      <c r="F810" s="21"/>
      <c r="G810" s="21"/>
      <c r="H810" s="18"/>
      <c r="I810" s="30" t="str">
        <f t="shared" si="60"/>
        <v/>
      </c>
      <c r="J810" s="38" t="str">
        <f t="shared" si="61"/>
        <v/>
      </c>
      <c r="K810" s="30" t="str">
        <f t="shared" si="62"/>
        <v/>
      </c>
      <c r="L810" s="30" t="str">
        <f t="shared" si="63"/>
        <v/>
      </c>
      <c r="M810" s="30" t="str">
        <f t="shared" si="64"/>
        <v/>
      </c>
    </row>
    <row r="811" spans="1:13" x14ac:dyDescent="0.2">
      <c r="A811" s="35"/>
      <c r="B811" s="21"/>
      <c r="C811" s="18"/>
      <c r="D811" s="20"/>
      <c r="E811" s="20"/>
      <c r="F811" s="21"/>
      <c r="G811" s="21"/>
      <c r="H811" s="18"/>
      <c r="I811" s="30" t="str">
        <f t="shared" si="60"/>
        <v/>
      </c>
      <c r="J811" s="38" t="str">
        <f t="shared" si="61"/>
        <v/>
      </c>
      <c r="K811" s="30" t="str">
        <f t="shared" si="62"/>
        <v/>
      </c>
      <c r="L811" s="30" t="str">
        <f t="shared" si="63"/>
        <v/>
      </c>
      <c r="M811" s="30" t="str">
        <f t="shared" si="64"/>
        <v/>
      </c>
    </row>
    <row r="812" spans="1:13" x14ac:dyDescent="0.2">
      <c r="A812" s="35"/>
      <c r="B812" s="21"/>
      <c r="C812" s="18"/>
      <c r="D812" s="20"/>
      <c r="E812" s="20"/>
      <c r="F812" s="21"/>
      <c r="G812" s="21"/>
      <c r="H812" s="18"/>
      <c r="I812" s="30" t="str">
        <f t="shared" si="60"/>
        <v/>
      </c>
      <c r="J812" s="38" t="str">
        <f t="shared" si="61"/>
        <v/>
      </c>
      <c r="K812" s="30" t="str">
        <f t="shared" si="62"/>
        <v/>
      </c>
      <c r="L812" s="30" t="str">
        <f t="shared" si="63"/>
        <v/>
      </c>
      <c r="M812" s="30" t="str">
        <f t="shared" si="64"/>
        <v/>
      </c>
    </row>
    <row r="813" spans="1:13" x14ac:dyDescent="0.2">
      <c r="A813" s="35"/>
      <c r="B813" s="21"/>
      <c r="C813" s="18"/>
      <c r="D813" s="20"/>
      <c r="E813" s="20"/>
      <c r="F813" s="21"/>
      <c r="G813" s="21"/>
      <c r="H813" s="18"/>
      <c r="I813" s="30" t="str">
        <f t="shared" si="60"/>
        <v/>
      </c>
      <c r="J813" s="38" t="str">
        <f t="shared" si="61"/>
        <v/>
      </c>
      <c r="K813" s="30" t="str">
        <f t="shared" si="62"/>
        <v/>
      </c>
      <c r="L813" s="30" t="str">
        <f t="shared" si="63"/>
        <v/>
      </c>
      <c r="M813" s="30" t="str">
        <f t="shared" si="64"/>
        <v/>
      </c>
    </row>
    <row r="814" spans="1:13" x14ac:dyDescent="0.2">
      <c r="A814" s="35"/>
      <c r="B814" s="21"/>
      <c r="C814" s="18"/>
      <c r="D814" s="20"/>
      <c r="E814" s="20"/>
      <c r="F814" s="21"/>
      <c r="G814" s="21"/>
      <c r="H814" s="18"/>
      <c r="I814" s="30" t="str">
        <f t="shared" si="60"/>
        <v/>
      </c>
      <c r="J814" s="38" t="str">
        <f t="shared" si="61"/>
        <v/>
      </c>
      <c r="K814" s="30" t="str">
        <f t="shared" si="62"/>
        <v/>
      </c>
      <c r="L814" s="30" t="str">
        <f t="shared" si="63"/>
        <v/>
      </c>
      <c r="M814" s="30" t="str">
        <f t="shared" si="64"/>
        <v/>
      </c>
    </row>
    <row r="815" spans="1:13" x14ac:dyDescent="0.2">
      <c r="A815" s="35"/>
      <c r="B815" s="21"/>
      <c r="C815" s="18"/>
      <c r="D815" s="20"/>
      <c r="E815" s="20"/>
      <c r="F815" s="21"/>
      <c r="G815" s="21"/>
      <c r="H815" s="18"/>
      <c r="I815" s="30" t="str">
        <f t="shared" si="60"/>
        <v/>
      </c>
      <c r="J815" s="38" t="str">
        <f t="shared" si="61"/>
        <v/>
      </c>
      <c r="K815" s="30" t="str">
        <f t="shared" si="62"/>
        <v/>
      </c>
      <c r="L815" s="30" t="str">
        <f t="shared" si="63"/>
        <v/>
      </c>
      <c r="M815" s="30" t="str">
        <f t="shared" si="64"/>
        <v/>
      </c>
    </row>
    <row r="816" spans="1:13" x14ac:dyDescent="0.2">
      <c r="A816" s="35"/>
      <c r="B816" s="21"/>
      <c r="C816" s="18"/>
      <c r="D816" s="20"/>
      <c r="E816" s="20"/>
      <c r="F816" s="21"/>
      <c r="G816" s="21"/>
      <c r="H816" s="18"/>
      <c r="I816" s="30" t="str">
        <f t="shared" si="60"/>
        <v/>
      </c>
      <c r="J816" s="38" t="str">
        <f t="shared" si="61"/>
        <v/>
      </c>
      <c r="K816" s="30" t="str">
        <f t="shared" si="62"/>
        <v/>
      </c>
      <c r="L816" s="30" t="str">
        <f t="shared" si="63"/>
        <v/>
      </c>
      <c r="M816" s="30" t="str">
        <f t="shared" si="64"/>
        <v/>
      </c>
    </row>
    <row r="817" spans="1:13" x14ac:dyDescent="0.2">
      <c r="A817" s="35"/>
      <c r="B817" s="21"/>
      <c r="C817" s="18"/>
      <c r="D817" s="20"/>
      <c r="E817" s="20"/>
      <c r="F817" s="21"/>
      <c r="G817" s="21"/>
      <c r="H817" s="18"/>
      <c r="I817" s="30" t="str">
        <f t="shared" si="60"/>
        <v/>
      </c>
      <c r="J817" s="38" t="str">
        <f t="shared" si="61"/>
        <v/>
      </c>
      <c r="K817" s="30" t="str">
        <f t="shared" si="62"/>
        <v/>
      </c>
      <c r="L817" s="30" t="str">
        <f t="shared" si="63"/>
        <v/>
      </c>
      <c r="M817" s="30" t="str">
        <f t="shared" si="64"/>
        <v/>
      </c>
    </row>
    <row r="818" spans="1:13" x14ac:dyDescent="0.2">
      <c r="A818" s="35"/>
      <c r="B818" s="21"/>
      <c r="C818" s="18"/>
      <c r="D818" s="20"/>
      <c r="E818" s="20"/>
      <c r="F818" s="21"/>
      <c r="G818" s="21"/>
      <c r="H818" s="18"/>
      <c r="I818" s="30" t="str">
        <f t="shared" si="60"/>
        <v/>
      </c>
      <c r="J818" s="38" t="str">
        <f t="shared" si="61"/>
        <v/>
      </c>
      <c r="K818" s="30" t="str">
        <f t="shared" si="62"/>
        <v/>
      </c>
      <c r="L818" s="30" t="str">
        <f t="shared" si="63"/>
        <v/>
      </c>
      <c r="M818" s="30" t="str">
        <f t="shared" si="64"/>
        <v/>
      </c>
    </row>
    <row r="819" spans="1:13" x14ac:dyDescent="0.2">
      <c r="A819" s="35"/>
      <c r="B819" s="21"/>
      <c r="C819" s="18"/>
      <c r="D819" s="20"/>
      <c r="E819" s="20"/>
      <c r="F819" s="21"/>
      <c r="G819" s="21"/>
      <c r="H819" s="18"/>
      <c r="I819" s="30" t="str">
        <f t="shared" si="60"/>
        <v/>
      </c>
      <c r="J819" s="38" t="str">
        <f t="shared" si="61"/>
        <v/>
      </c>
      <c r="K819" s="30" t="str">
        <f t="shared" si="62"/>
        <v/>
      </c>
      <c r="L819" s="30" t="str">
        <f t="shared" si="63"/>
        <v/>
      </c>
      <c r="M819" s="30" t="str">
        <f t="shared" si="64"/>
        <v/>
      </c>
    </row>
    <row r="820" spans="1:13" x14ac:dyDescent="0.2">
      <c r="A820" s="35"/>
      <c r="B820" s="21"/>
      <c r="C820" s="18"/>
      <c r="D820" s="20"/>
      <c r="E820" s="20"/>
      <c r="F820" s="21"/>
      <c r="G820" s="21"/>
      <c r="H820" s="18"/>
      <c r="I820" s="30" t="str">
        <f t="shared" si="60"/>
        <v/>
      </c>
      <c r="J820" s="38" t="str">
        <f t="shared" si="61"/>
        <v/>
      </c>
      <c r="K820" s="30" t="str">
        <f t="shared" si="62"/>
        <v/>
      </c>
      <c r="L820" s="30" t="str">
        <f t="shared" si="63"/>
        <v/>
      </c>
      <c r="M820" s="30" t="str">
        <f t="shared" si="64"/>
        <v/>
      </c>
    </row>
    <row r="821" spans="1:13" x14ac:dyDescent="0.2">
      <c r="A821" s="35"/>
      <c r="B821" s="21"/>
      <c r="C821" s="18"/>
      <c r="D821" s="20"/>
      <c r="E821" s="20"/>
      <c r="F821" s="21"/>
      <c r="G821" s="21"/>
      <c r="H821" s="18"/>
      <c r="I821" s="30" t="str">
        <f t="shared" si="60"/>
        <v/>
      </c>
      <c r="J821" s="38" t="str">
        <f t="shared" si="61"/>
        <v/>
      </c>
      <c r="K821" s="30" t="str">
        <f t="shared" si="62"/>
        <v/>
      </c>
      <c r="L821" s="30" t="str">
        <f t="shared" si="63"/>
        <v/>
      </c>
      <c r="M821" s="30" t="str">
        <f t="shared" si="64"/>
        <v/>
      </c>
    </row>
    <row r="822" spans="1:13" x14ac:dyDescent="0.2">
      <c r="A822" s="35"/>
      <c r="B822" s="21"/>
      <c r="C822" s="18"/>
      <c r="D822" s="20"/>
      <c r="E822" s="20"/>
      <c r="F822" s="21"/>
      <c r="G822" s="21"/>
      <c r="H822" s="18"/>
      <c r="I822" s="30" t="str">
        <f t="shared" si="60"/>
        <v/>
      </c>
      <c r="J822" s="38" t="str">
        <f t="shared" si="61"/>
        <v/>
      </c>
      <c r="K822" s="30" t="str">
        <f t="shared" si="62"/>
        <v/>
      </c>
      <c r="L822" s="30" t="str">
        <f t="shared" si="63"/>
        <v/>
      </c>
      <c r="M822" s="30" t="str">
        <f t="shared" si="64"/>
        <v/>
      </c>
    </row>
    <row r="823" spans="1:13" x14ac:dyDescent="0.2">
      <c r="A823" s="35"/>
      <c r="B823" s="21"/>
      <c r="C823" s="18"/>
      <c r="D823" s="20"/>
      <c r="E823" s="20"/>
      <c r="F823" s="21"/>
      <c r="G823" s="21"/>
      <c r="H823" s="18"/>
      <c r="I823" s="30" t="str">
        <f t="shared" si="60"/>
        <v/>
      </c>
      <c r="J823" s="38" t="str">
        <f t="shared" si="61"/>
        <v/>
      </c>
      <c r="K823" s="30" t="str">
        <f t="shared" si="62"/>
        <v/>
      </c>
      <c r="L823" s="30" t="str">
        <f t="shared" si="63"/>
        <v/>
      </c>
      <c r="M823" s="30" t="str">
        <f t="shared" si="64"/>
        <v/>
      </c>
    </row>
    <row r="824" spans="1:13" x14ac:dyDescent="0.2">
      <c r="A824" s="35"/>
      <c r="B824" s="21"/>
      <c r="C824" s="18"/>
      <c r="D824" s="20"/>
      <c r="E824" s="20"/>
      <c r="F824" s="21"/>
      <c r="G824" s="21"/>
      <c r="H824" s="18"/>
      <c r="I824" s="30" t="str">
        <f t="shared" si="60"/>
        <v/>
      </c>
      <c r="J824" s="38" t="str">
        <f t="shared" si="61"/>
        <v/>
      </c>
      <c r="K824" s="30" t="str">
        <f t="shared" si="62"/>
        <v/>
      </c>
      <c r="L824" s="30" t="str">
        <f t="shared" si="63"/>
        <v/>
      </c>
      <c r="M824" s="30" t="str">
        <f t="shared" si="64"/>
        <v/>
      </c>
    </row>
    <row r="825" spans="1:13" x14ac:dyDescent="0.2">
      <c r="A825" s="35"/>
      <c r="B825" s="21"/>
      <c r="C825" s="18"/>
      <c r="D825" s="20"/>
      <c r="E825" s="20"/>
      <c r="F825" s="21"/>
      <c r="G825" s="21"/>
      <c r="H825" s="18"/>
      <c r="I825" s="30" t="str">
        <f t="shared" si="60"/>
        <v/>
      </c>
      <c r="J825" s="38" t="str">
        <f t="shared" si="61"/>
        <v/>
      </c>
      <c r="K825" s="30" t="str">
        <f t="shared" si="62"/>
        <v/>
      </c>
      <c r="L825" s="30" t="str">
        <f t="shared" si="63"/>
        <v/>
      </c>
      <c r="M825" s="30" t="str">
        <f t="shared" si="64"/>
        <v/>
      </c>
    </row>
    <row r="826" spans="1:13" x14ac:dyDescent="0.2">
      <c r="A826" s="35"/>
      <c r="B826" s="21"/>
      <c r="C826" s="18"/>
      <c r="D826" s="20"/>
      <c r="E826" s="20"/>
      <c r="F826" s="21"/>
      <c r="G826" s="21"/>
      <c r="H826" s="18"/>
      <c r="I826" s="30" t="str">
        <f t="shared" si="60"/>
        <v/>
      </c>
      <c r="J826" s="38" t="str">
        <f t="shared" si="61"/>
        <v/>
      </c>
      <c r="K826" s="30" t="str">
        <f t="shared" si="62"/>
        <v/>
      </c>
      <c r="L826" s="30" t="str">
        <f t="shared" si="63"/>
        <v/>
      </c>
      <c r="M826" s="30" t="str">
        <f t="shared" si="64"/>
        <v/>
      </c>
    </row>
    <row r="827" spans="1:13" x14ac:dyDescent="0.2">
      <c r="A827" s="35"/>
      <c r="B827" s="21"/>
      <c r="C827" s="18"/>
      <c r="D827" s="20"/>
      <c r="E827" s="20"/>
      <c r="F827" s="21"/>
      <c r="G827" s="21"/>
      <c r="H827" s="18"/>
      <c r="I827" s="30" t="str">
        <f t="shared" si="60"/>
        <v/>
      </c>
      <c r="J827" s="38" t="str">
        <f t="shared" si="61"/>
        <v/>
      </c>
      <c r="K827" s="30" t="str">
        <f t="shared" si="62"/>
        <v/>
      </c>
      <c r="L827" s="30" t="str">
        <f t="shared" si="63"/>
        <v/>
      </c>
      <c r="M827" s="30" t="str">
        <f t="shared" si="64"/>
        <v/>
      </c>
    </row>
    <row r="828" spans="1:13" x14ac:dyDescent="0.2">
      <c r="A828" s="35"/>
      <c r="B828" s="21"/>
      <c r="C828" s="18"/>
      <c r="D828" s="20"/>
      <c r="E828" s="20"/>
      <c r="F828" s="21"/>
      <c r="G828" s="21"/>
      <c r="H828" s="18"/>
      <c r="I828" s="30" t="str">
        <f t="shared" si="60"/>
        <v/>
      </c>
      <c r="J828" s="38" t="str">
        <f t="shared" si="61"/>
        <v/>
      </c>
      <c r="K828" s="30" t="str">
        <f t="shared" si="62"/>
        <v/>
      </c>
      <c r="L828" s="30" t="str">
        <f t="shared" si="63"/>
        <v/>
      </c>
      <c r="M828" s="30" t="str">
        <f t="shared" si="64"/>
        <v/>
      </c>
    </row>
    <row r="829" spans="1:13" x14ac:dyDescent="0.2">
      <c r="A829" s="35"/>
      <c r="B829" s="21"/>
      <c r="C829" s="18"/>
      <c r="D829" s="20"/>
      <c r="E829" s="20"/>
      <c r="F829" s="21"/>
      <c r="G829" s="21"/>
      <c r="H829" s="18"/>
      <c r="I829" s="30" t="str">
        <f t="shared" si="60"/>
        <v/>
      </c>
      <c r="J829" s="38" t="str">
        <f t="shared" si="61"/>
        <v/>
      </c>
      <c r="K829" s="30" t="str">
        <f t="shared" si="62"/>
        <v/>
      </c>
      <c r="L829" s="30" t="str">
        <f t="shared" si="63"/>
        <v/>
      </c>
      <c r="M829" s="30" t="str">
        <f t="shared" si="64"/>
        <v/>
      </c>
    </row>
    <row r="830" spans="1:13" x14ac:dyDescent="0.2">
      <c r="A830" s="35"/>
      <c r="B830" s="21"/>
      <c r="C830" s="18"/>
      <c r="D830" s="20"/>
      <c r="E830" s="20"/>
      <c r="F830" s="21"/>
      <c r="G830" s="21"/>
      <c r="H830" s="18"/>
      <c r="I830" s="30" t="str">
        <f t="shared" si="60"/>
        <v/>
      </c>
      <c r="J830" s="38" t="str">
        <f t="shared" si="61"/>
        <v/>
      </c>
      <c r="K830" s="30" t="str">
        <f t="shared" si="62"/>
        <v/>
      </c>
      <c r="L830" s="30" t="str">
        <f t="shared" si="63"/>
        <v/>
      </c>
      <c r="M830" s="30" t="str">
        <f t="shared" si="64"/>
        <v/>
      </c>
    </row>
    <row r="831" spans="1:13" x14ac:dyDescent="0.2">
      <c r="A831" s="35"/>
      <c r="B831" s="21"/>
      <c r="C831" s="18"/>
      <c r="D831" s="20"/>
      <c r="E831" s="20"/>
      <c r="F831" s="21"/>
      <c r="G831" s="21"/>
      <c r="H831" s="18"/>
      <c r="I831" s="30" t="str">
        <f t="shared" si="60"/>
        <v/>
      </c>
      <c r="J831" s="38" t="str">
        <f t="shared" si="61"/>
        <v/>
      </c>
      <c r="K831" s="30" t="str">
        <f t="shared" si="62"/>
        <v/>
      </c>
      <c r="L831" s="30" t="str">
        <f t="shared" si="63"/>
        <v/>
      </c>
      <c r="M831" s="30" t="str">
        <f t="shared" si="64"/>
        <v/>
      </c>
    </row>
    <row r="832" spans="1:13" x14ac:dyDescent="0.2">
      <c r="A832" s="35"/>
      <c r="B832" s="21"/>
      <c r="C832" s="18"/>
      <c r="D832" s="20"/>
      <c r="E832" s="20"/>
      <c r="F832" s="21"/>
      <c r="G832" s="21"/>
      <c r="H832" s="18"/>
      <c r="I832" s="30" t="str">
        <f t="shared" si="60"/>
        <v/>
      </c>
      <c r="J832" s="38" t="str">
        <f t="shared" si="61"/>
        <v/>
      </c>
      <c r="K832" s="30" t="str">
        <f t="shared" si="62"/>
        <v/>
      </c>
      <c r="L832" s="30" t="str">
        <f t="shared" si="63"/>
        <v/>
      </c>
      <c r="M832" s="30" t="str">
        <f t="shared" si="64"/>
        <v/>
      </c>
    </row>
    <row r="833" spans="1:13" x14ac:dyDescent="0.2">
      <c r="A833" s="35"/>
      <c r="B833" s="21"/>
      <c r="C833" s="18"/>
      <c r="D833" s="20"/>
      <c r="E833" s="20"/>
      <c r="F833" s="21"/>
      <c r="G833" s="21"/>
      <c r="H833" s="18"/>
      <c r="I833" s="30" t="str">
        <f t="shared" si="60"/>
        <v/>
      </c>
      <c r="J833" s="38" t="str">
        <f t="shared" si="61"/>
        <v/>
      </c>
      <c r="K833" s="30" t="str">
        <f t="shared" si="62"/>
        <v/>
      </c>
      <c r="L833" s="30" t="str">
        <f t="shared" si="63"/>
        <v/>
      </c>
      <c r="M833" s="30" t="str">
        <f t="shared" si="64"/>
        <v/>
      </c>
    </row>
    <row r="834" spans="1:13" x14ac:dyDescent="0.2">
      <c r="A834" s="35"/>
      <c r="B834" s="21"/>
      <c r="C834" s="18"/>
      <c r="D834" s="20"/>
      <c r="E834" s="20"/>
      <c r="F834" s="21"/>
      <c r="G834" s="21"/>
      <c r="H834" s="18"/>
      <c r="I834" s="30" t="str">
        <f t="shared" si="60"/>
        <v/>
      </c>
      <c r="J834" s="38" t="str">
        <f t="shared" si="61"/>
        <v/>
      </c>
      <c r="K834" s="30" t="str">
        <f t="shared" si="62"/>
        <v/>
      </c>
      <c r="L834" s="30" t="str">
        <f t="shared" si="63"/>
        <v/>
      </c>
      <c r="M834" s="30" t="str">
        <f t="shared" si="64"/>
        <v/>
      </c>
    </row>
    <row r="835" spans="1:13" x14ac:dyDescent="0.2">
      <c r="A835" s="35"/>
      <c r="B835" s="21"/>
      <c r="C835" s="18"/>
      <c r="D835" s="20"/>
      <c r="E835" s="20"/>
      <c r="F835" s="21"/>
      <c r="G835" s="21"/>
      <c r="H835" s="18"/>
      <c r="I835" s="30" t="str">
        <f t="shared" si="60"/>
        <v/>
      </c>
      <c r="J835" s="38" t="str">
        <f t="shared" si="61"/>
        <v/>
      </c>
      <c r="K835" s="30" t="str">
        <f t="shared" si="62"/>
        <v/>
      </c>
      <c r="L835" s="30" t="str">
        <f t="shared" si="63"/>
        <v/>
      </c>
      <c r="M835" s="30" t="str">
        <f t="shared" si="64"/>
        <v/>
      </c>
    </row>
    <row r="836" spans="1:13" x14ac:dyDescent="0.2">
      <c r="A836" s="35"/>
      <c r="B836" s="21"/>
      <c r="C836" s="18"/>
      <c r="D836" s="20"/>
      <c r="E836" s="20"/>
      <c r="F836" s="21"/>
      <c r="G836" s="21"/>
      <c r="H836" s="18"/>
      <c r="I836" s="30" t="str">
        <f t="shared" si="60"/>
        <v/>
      </c>
      <c r="J836" s="38" t="str">
        <f t="shared" si="61"/>
        <v/>
      </c>
      <c r="K836" s="30" t="str">
        <f t="shared" si="62"/>
        <v/>
      </c>
      <c r="L836" s="30" t="str">
        <f t="shared" si="63"/>
        <v/>
      </c>
      <c r="M836" s="30" t="str">
        <f t="shared" si="64"/>
        <v/>
      </c>
    </row>
    <row r="837" spans="1:13" x14ac:dyDescent="0.2">
      <c r="A837" s="35"/>
      <c r="B837" s="21"/>
      <c r="C837" s="18"/>
      <c r="D837" s="20"/>
      <c r="E837" s="20"/>
      <c r="F837" s="21"/>
      <c r="G837" s="21"/>
      <c r="H837" s="18"/>
      <c r="I837" s="30" t="str">
        <f t="shared" si="60"/>
        <v/>
      </c>
      <c r="J837" s="38" t="str">
        <f t="shared" si="61"/>
        <v/>
      </c>
      <c r="K837" s="30" t="str">
        <f t="shared" si="62"/>
        <v/>
      </c>
      <c r="L837" s="30" t="str">
        <f t="shared" si="63"/>
        <v/>
      </c>
      <c r="M837" s="30" t="str">
        <f t="shared" si="64"/>
        <v/>
      </c>
    </row>
    <row r="838" spans="1:13" x14ac:dyDescent="0.2">
      <c r="A838" s="35"/>
      <c r="B838" s="21"/>
      <c r="C838" s="18"/>
      <c r="D838" s="20"/>
      <c r="E838" s="20"/>
      <c r="F838" s="21"/>
      <c r="G838" s="21"/>
      <c r="H838" s="18"/>
      <c r="I838" s="30" t="str">
        <f t="shared" ref="I838:I901" si="65">IF(OR(D838="",E838=""),"",ROUND(MOD(E838-D838,1)*1440,0))</f>
        <v/>
      </c>
      <c r="J838" s="38" t="str">
        <f t="shared" ref="J838:J901" si="66">IF(F838="","",IFERROR(INDEX(LYDO_TEN,MATCH(F838,DS_LYDO,0)),"?"))</f>
        <v/>
      </c>
      <c r="K838" s="30" t="str">
        <f t="shared" ref="K838:K901" si="67">IF(F838="","",IFERROR(INDEX(LYDO_LOAI,MATCH(F838,DS_LYDO,0)),"?"))</f>
        <v/>
      </c>
      <c r="L838" s="30" t="str">
        <f t="shared" ref="L838:L901" si="68">IF(F838="","",IFERROR(INDEX(LYDO_BP,MATCH(F838,DS_LYDO,0)),"?"))</f>
        <v/>
      </c>
      <c r="M838" s="30" t="str">
        <f t="shared" ref="M838:M901" si="69">IF(I838="","",IF(MOD(I838,5)=0,1,0))</f>
        <v/>
      </c>
    </row>
    <row r="839" spans="1:13" x14ac:dyDescent="0.2">
      <c r="A839" s="35"/>
      <c r="B839" s="21"/>
      <c r="C839" s="18"/>
      <c r="D839" s="20"/>
      <c r="E839" s="20"/>
      <c r="F839" s="21"/>
      <c r="G839" s="21"/>
      <c r="H839" s="18"/>
      <c r="I839" s="30" t="str">
        <f t="shared" si="65"/>
        <v/>
      </c>
      <c r="J839" s="38" t="str">
        <f t="shared" si="66"/>
        <v/>
      </c>
      <c r="K839" s="30" t="str">
        <f t="shared" si="67"/>
        <v/>
      </c>
      <c r="L839" s="30" t="str">
        <f t="shared" si="68"/>
        <v/>
      </c>
      <c r="M839" s="30" t="str">
        <f t="shared" si="69"/>
        <v/>
      </c>
    </row>
    <row r="840" spans="1:13" x14ac:dyDescent="0.2">
      <c r="A840" s="35"/>
      <c r="B840" s="21"/>
      <c r="C840" s="18"/>
      <c r="D840" s="20"/>
      <c r="E840" s="20"/>
      <c r="F840" s="21"/>
      <c r="G840" s="21"/>
      <c r="H840" s="18"/>
      <c r="I840" s="30" t="str">
        <f t="shared" si="65"/>
        <v/>
      </c>
      <c r="J840" s="38" t="str">
        <f t="shared" si="66"/>
        <v/>
      </c>
      <c r="K840" s="30" t="str">
        <f t="shared" si="67"/>
        <v/>
      </c>
      <c r="L840" s="30" t="str">
        <f t="shared" si="68"/>
        <v/>
      </c>
      <c r="M840" s="30" t="str">
        <f t="shared" si="69"/>
        <v/>
      </c>
    </row>
    <row r="841" spans="1:13" x14ac:dyDescent="0.2">
      <c r="A841" s="35"/>
      <c r="B841" s="21"/>
      <c r="C841" s="18"/>
      <c r="D841" s="20"/>
      <c r="E841" s="20"/>
      <c r="F841" s="21"/>
      <c r="G841" s="21"/>
      <c r="H841" s="18"/>
      <c r="I841" s="30" t="str">
        <f t="shared" si="65"/>
        <v/>
      </c>
      <c r="J841" s="38" t="str">
        <f t="shared" si="66"/>
        <v/>
      </c>
      <c r="K841" s="30" t="str">
        <f t="shared" si="67"/>
        <v/>
      </c>
      <c r="L841" s="30" t="str">
        <f t="shared" si="68"/>
        <v/>
      </c>
      <c r="M841" s="30" t="str">
        <f t="shared" si="69"/>
        <v/>
      </c>
    </row>
    <row r="842" spans="1:13" x14ac:dyDescent="0.2">
      <c r="A842" s="35"/>
      <c r="B842" s="21"/>
      <c r="C842" s="18"/>
      <c r="D842" s="20"/>
      <c r="E842" s="20"/>
      <c r="F842" s="21"/>
      <c r="G842" s="21"/>
      <c r="H842" s="18"/>
      <c r="I842" s="30" t="str">
        <f t="shared" si="65"/>
        <v/>
      </c>
      <c r="J842" s="38" t="str">
        <f t="shared" si="66"/>
        <v/>
      </c>
      <c r="K842" s="30" t="str">
        <f t="shared" si="67"/>
        <v/>
      </c>
      <c r="L842" s="30" t="str">
        <f t="shared" si="68"/>
        <v/>
      </c>
      <c r="M842" s="30" t="str">
        <f t="shared" si="69"/>
        <v/>
      </c>
    </row>
    <row r="843" spans="1:13" x14ac:dyDescent="0.2">
      <c r="A843" s="35"/>
      <c r="B843" s="21"/>
      <c r="C843" s="18"/>
      <c r="D843" s="20"/>
      <c r="E843" s="20"/>
      <c r="F843" s="21"/>
      <c r="G843" s="21"/>
      <c r="H843" s="18"/>
      <c r="I843" s="30" t="str">
        <f t="shared" si="65"/>
        <v/>
      </c>
      <c r="J843" s="38" t="str">
        <f t="shared" si="66"/>
        <v/>
      </c>
      <c r="K843" s="30" t="str">
        <f t="shared" si="67"/>
        <v/>
      </c>
      <c r="L843" s="30" t="str">
        <f t="shared" si="68"/>
        <v/>
      </c>
      <c r="M843" s="30" t="str">
        <f t="shared" si="69"/>
        <v/>
      </c>
    </row>
    <row r="844" spans="1:13" x14ac:dyDescent="0.2">
      <c r="A844" s="35"/>
      <c r="B844" s="21"/>
      <c r="C844" s="18"/>
      <c r="D844" s="20"/>
      <c r="E844" s="20"/>
      <c r="F844" s="21"/>
      <c r="G844" s="21"/>
      <c r="H844" s="18"/>
      <c r="I844" s="30" t="str">
        <f t="shared" si="65"/>
        <v/>
      </c>
      <c r="J844" s="38" t="str">
        <f t="shared" si="66"/>
        <v/>
      </c>
      <c r="K844" s="30" t="str">
        <f t="shared" si="67"/>
        <v/>
      </c>
      <c r="L844" s="30" t="str">
        <f t="shared" si="68"/>
        <v/>
      </c>
      <c r="M844" s="30" t="str">
        <f t="shared" si="69"/>
        <v/>
      </c>
    </row>
    <row r="845" spans="1:13" x14ac:dyDescent="0.2">
      <c r="A845" s="35"/>
      <c r="B845" s="21"/>
      <c r="C845" s="18"/>
      <c r="D845" s="20"/>
      <c r="E845" s="20"/>
      <c r="F845" s="21"/>
      <c r="G845" s="21"/>
      <c r="H845" s="18"/>
      <c r="I845" s="30" t="str">
        <f t="shared" si="65"/>
        <v/>
      </c>
      <c r="J845" s="38" t="str">
        <f t="shared" si="66"/>
        <v/>
      </c>
      <c r="K845" s="30" t="str">
        <f t="shared" si="67"/>
        <v/>
      </c>
      <c r="L845" s="30" t="str">
        <f t="shared" si="68"/>
        <v/>
      </c>
      <c r="M845" s="30" t="str">
        <f t="shared" si="69"/>
        <v/>
      </c>
    </row>
    <row r="846" spans="1:13" x14ac:dyDescent="0.2">
      <c r="A846" s="35"/>
      <c r="B846" s="21"/>
      <c r="C846" s="18"/>
      <c r="D846" s="20"/>
      <c r="E846" s="20"/>
      <c r="F846" s="21"/>
      <c r="G846" s="21"/>
      <c r="H846" s="18"/>
      <c r="I846" s="30" t="str">
        <f t="shared" si="65"/>
        <v/>
      </c>
      <c r="J846" s="38" t="str">
        <f t="shared" si="66"/>
        <v/>
      </c>
      <c r="K846" s="30" t="str">
        <f t="shared" si="67"/>
        <v/>
      </c>
      <c r="L846" s="30" t="str">
        <f t="shared" si="68"/>
        <v/>
      </c>
      <c r="M846" s="30" t="str">
        <f t="shared" si="69"/>
        <v/>
      </c>
    </row>
    <row r="847" spans="1:13" x14ac:dyDescent="0.2">
      <c r="A847" s="35"/>
      <c r="B847" s="21"/>
      <c r="C847" s="18"/>
      <c r="D847" s="20"/>
      <c r="E847" s="20"/>
      <c r="F847" s="21"/>
      <c r="G847" s="21"/>
      <c r="H847" s="18"/>
      <c r="I847" s="30" t="str">
        <f t="shared" si="65"/>
        <v/>
      </c>
      <c r="J847" s="38" t="str">
        <f t="shared" si="66"/>
        <v/>
      </c>
      <c r="K847" s="30" t="str">
        <f t="shared" si="67"/>
        <v/>
      </c>
      <c r="L847" s="30" t="str">
        <f t="shared" si="68"/>
        <v/>
      </c>
      <c r="M847" s="30" t="str">
        <f t="shared" si="69"/>
        <v/>
      </c>
    </row>
    <row r="848" spans="1:13" x14ac:dyDescent="0.2">
      <c r="A848" s="35"/>
      <c r="B848" s="21"/>
      <c r="C848" s="18"/>
      <c r="D848" s="20"/>
      <c r="E848" s="20"/>
      <c r="F848" s="21"/>
      <c r="G848" s="21"/>
      <c r="H848" s="18"/>
      <c r="I848" s="30" t="str">
        <f t="shared" si="65"/>
        <v/>
      </c>
      <c r="J848" s="38" t="str">
        <f t="shared" si="66"/>
        <v/>
      </c>
      <c r="K848" s="30" t="str">
        <f t="shared" si="67"/>
        <v/>
      </c>
      <c r="L848" s="30" t="str">
        <f t="shared" si="68"/>
        <v/>
      </c>
      <c r="M848" s="30" t="str">
        <f t="shared" si="69"/>
        <v/>
      </c>
    </row>
    <row r="849" spans="1:13" x14ac:dyDescent="0.2">
      <c r="A849" s="35"/>
      <c r="B849" s="21"/>
      <c r="C849" s="18"/>
      <c r="D849" s="20"/>
      <c r="E849" s="20"/>
      <c r="F849" s="21"/>
      <c r="G849" s="21"/>
      <c r="H849" s="18"/>
      <c r="I849" s="30" t="str">
        <f t="shared" si="65"/>
        <v/>
      </c>
      <c r="J849" s="38" t="str">
        <f t="shared" si="66"/>
        <v/>
      </c>
      <c r="K849" s="30" t="str">
        <f t="shared" si="67"/>
        <v/>
      </c>
      <c r="L849" s="30" t="str">
        <f t="shared" si="68"/>
        <v/>
      </c>
      <c r="M849" s="30" t="str">
        <f t="shared" si="69"/>
        <v/>
      </c>
    </row>
    <row r="850" spans="1:13" x14ac:dyDescent="0.2">
      <c r="A850" s="35"/>
      <c r="B850" s="21"/>
      <c r="C850" s="18"/>
      <c r="D850" s="20"/>
      <c r="E850" s="20"/>
      <c r="F850" s="21"/>
      <c r="G850" s="21"/>
      <c r="H850" s="18"/>
      <c r="I850" s="30" t="str">
        <f t="shared" si="65"/>
        <v/>
      </c>
      <c r="J850" s="38" t="str">
        <f t="shared" si="66"/>
        <v/>
      </c>
      <c r="K850" s="30" t="str">
        <f t="shared" si="67"/>
        <v/>
      </c>
      <c r="L850" s="30" t="str">
        <f t="shared" si="68"/>
        <v/>
      </c>
      <c r="M850" s="30" t="str">
        <f t="shared" si="69"/>
        <v/>
      </c>
    </row>
    <row r="851" spans="1:13" x14ac:dyDescent="0.2">
      <c r="A851" s="35"/>
      <c r="B851" s="21"/>
      <c r="C851" s="18"/>
      <c r="D851" s="20"/>
      <c r="E851" s="20"/>
      <c r="F851" s="21"/>
      <c r="G851" s="21"/>
      <c r="H851" s="18"/>
      <c r="I851" s="30" t="str">
        <f t="shared" si="65"/>
        <v/>
      </c>
      <c r="J851" s="38" t="str">
        <f t="shared" si="66"/>
        <v/>
      </c>
      <c r="K851" s="30" t="str">
        <f t="shared" si="67"/>
        <v/>
      </c>
      <c r="L851" s="30" t="str">
        <f t="shared" si="68"/>
        <v/>
      </c>
      <c r="M851" s="30" t="str">
        <f t="shared" si="69"/>
        <v/>
      </c>
    </row>
    <row r="852" spans="1:13" x14ac:dyDescent="0.2">
      <c r="A852" s="35"/>
      <c r="B852" s="21"/>
      <c r="C852" s="18"/>
      <c r="D852" s="20"/>
      <c r="E852" s="20"/>
      <c r="F852" s="21"/>
      <c r="G852" s="21"/>
      <c r="H852" s="18"/>
      <c r="I852" s="30" t="str">
        <f t="shared" si="65"/>
        <v/>
      </c>
      <c r="J852" s="38" t="str">
        <f t="shared" si="66"/>
        <v/>
      </c>
      <c r="K852" s="30" t="str">
        <f t="shared" si="67"/>
        <v/>
      </c>
      <c r="L852" s="30" t="str">
        <f t="shared" si="68"/>
        <v/>
      </c>
      <c r="M852" s="30" t="str">
        <f t="shared" si="69"/>
        <v/>
      </c>
    </row>
    <row r="853" spans="1:13" x14ac:dyDescent="0.2">
      <c r="A853" s="35"/>
      <c r="B853" s="21"/>
      <c r="C853" s="18"/>
      <c r="D853" s="20"/>
      <c r="E853" s="20"/>
      <c r="F853" s="21"/>
      <c r="G853" s="21"/>
      <c r="H853" s="18"/>
      <c r="I853" s="30" t="str">
        <f t="shared" si="65"/>
        <v/>
      </c>
      <c r="J853" s="38" t="str">
        <f t="shared" si="66"/>
        <v/>
      </c>
      <c r="K853" s="30" t="str">
        <f t="shared" si="67"/>
        <v/>
      </c>
      <c r="L853" s="30" t="str">
        <f t="shared" si="68"/>
        <v/>
      </c>
      <c r="M853" s="30" t="str">
        <f t="shared" si="69"/>
        <v/>
      </c>
    </row>
    <row r="854" spans="1:13" x14ac:dyDescent="0.2">
      <c r="A854" s="35"/>
      <c r="B854" s="21"/>
      <c r="C854" s="18"/>
      <c r="D854" s="20"/>
      <c r="E854" s="20"/>
      <c r="F854" s="21"/>
      <c r="G854" s="21"/>
      <c r="H854" s="18"/>
      <c r="I854" s="30" t="str">
        <f t="shared" si="65"/>
        <v/>
      </c>
      <c r="J854" s="38" t="str">
        <f t="shared" si="66"/>
        <v/>
      </c>
      <c r="K854" s="30" t="str">
        <f t="shared" si="67"/>
        <v/>
      </c>
      <c r="L854" s="30" t="str">
        <f t="shared" si="68"/>
        <v/>
      </c>
      <c r="M854" s="30" t="str">
        <f t="shared" si="69"/>
        <v/>
      </c>
    </row>
    <row r="855" spans="1:13" x14ac:dyDescent="0.2">
      <c r="A855" s="35"/>
      <c r="B855" s="21"/>
      <c r="C855" s="18"/>
      <c r="D855" s="20"/>
      <c r="E855" s="20"/>
      <c r="F855" s="21"/>
      <c r="G855" s="21"/>
      <c r="H855" s="18"/>
      <c r="I855" s="30" t="str">
        <f t="shared" si="65"/>
        <v/>
      </c>
      <c r="J855" s="38" t="str">
        <f t="shared" si="66"/>
        <v/>
      </c>
      <c r="K855" s="30" t="str">
        <f t="shared" si="67"/>
        <v/>
      </c>
      <c r="L855" s="30" t="str">
        <f t="shared" si="68"/>
        <v/>
      </c>
      <c r="M855" s="30" t="str">
        <f t="shared" si="69"/>
        <v/>
      </c>
    </row>
    <row r="856" spans="1:13" x14ac:dyDescent="0.2">
      <c r="A856" s="35"/>
      <c r="B856" s="21"/>
      <c r="C856" s="18"/>
      <c r="D856" s="20"/>
      <c r="E856" s="20"/>
      <c r="F856" s="21"/>
      <c r="G856" s="21"/>
      <c r="H856" s="18"/>
      <c r="I856" s="30" t="str">
        <f t="shared" si="65"/>
        <v/>
      </c>
      <c r="J856" s="38" t="str">
        <f t="shared" si="66"/>
        <v/>
      </c>
      <c r="K856" s="30" t="str">
        <f t="shared" si="67"/>
        <v/>
      </c>
      <c r="L856" s="30" t="str">
        <f t="shared" si="68"/>
        <v/>
      </c>
      <c r="M856" s="30" t="str">
        <f t="shared" si="69"/>
        <v/>
      </c>
    </row>
    <row r="857" spans="1:13" x14ac:dyDescent="0.2">
      <c r="A857" s="35"/>
      <c r="B857" s="21"/>
      <c r="C857" s="18"/>
      <c r="D857" s="20"/>
      <c r="E857" s="20"/>
      <c r="F857" s="21"/>
      <c r="G857" s="21"/>
      <c r="H857" s="18"/>
      <c r="I857" s="30" t="str">
        <f t="shared" si="65"/>
        <v/>
      </c>
      <c r="J857" s="38" t="str">
        <f t="shared" si="66"/>
        <v/>
      </c>
      <c r="K857" s="30" t="str">
        <f t="shared" si="67"/>
        <v/>
      </c>
      <c r="L857" s="30" t="str">
        <f t="shared" si="68"/>
        <v/>
      </c>
      <c r="M857" s="30" t="str">
        <f t="shared" si="69"/>
        <v/>
      </c>
    </row>
    <row r="858" spans="1:13" x14ac:dyDescent="0.2">
      <c r="A858" s="35"/>
      <c r="B858" s="21"/>
      <c r="C858" s="18"/>
      <c r="D858" s="20"/>
      <c r="E858" s="20"/>
      <c r="F858" s="21"/>
      <c r="G858" s="21"/>
      <c r="H858" s="18"/>
      <c r="I858" s="30" t="str">
        <f t="shared" si="65"/>
        <v/>
      </c>
      <c r="J858" s="38" t="str">
        <f t="shared" si="66"/>
        <v/>
      </c>
      <c r="K858" s="30" t="str">
        <f t="shared" si="67"/>
        <v/>
      </c>
      <c r="L858" s="30" t="str">
        <f t="shared" si="68"/>
        <v/>
      </c>
      <c r="M858" s="30" t="str">
        <f t="shared" si="69"/>
        <v/>
      </c>
    </row>
    <row r="859" spans="1:13" x14ac:dyDescent="0.2">
      <c r="A859" s="35"/>
      <c r="B859" s="21"/>
      <c r="C859" s="18"/>
      <c r="D859" s="20"/>
      <c r="E859" s="20"/>
      <c r="F859" s="21"/>
      <c r="G859" s="21"/>
      <c r="H859" s="18"/>
      <c r="I859" s="30" t="str">
        <f t="shared" si="65"/>
        <v/>
      </c>
      <c r="J859" s="38" t="str">
        <f t="shared" si="66"/>
        <v/>
      </c>
      <c r="K859" s="30" t="str">
        <f t="shared" si="67"/>
        <v/>
      </c>
      <c r="L859" s="30" t="str">
        <f t="shared" si="68"/>
        <v/>
      </c>
      <c r="M859" s="30" t="str">
        <f t="shared" si="69"/>
        <v/>
      </c>
    </row>
    <row r="860" spans="1:13" x14ac:dyDescent="0.2">
      <c r="A860" s="35"/>
      <c r="B860" s="21"/>
      <c r="C860" s="18"/>
      <c r="D860" s="20"/>
      <c r="E860" s="20"/>
      <c r="F860" s="21"/>
      <c r="G860" s="21"/>
      <c r="H860" s="18"/>
      <c r="I860" s="30" t="str">
        <f t="shared" si="65"/>
        <v/>
      </c>
      <c r="J860" s="38" t="str">
        <f t="shared" si="66"/>
        <v/>
      </c>
      <c r="K860" s="30" t="str">
        <f t="shared" si="67"/>
        <v/>
      </c>
      <c r="L860" s="30" t="str">
        <f t="shared" si="68"/>
        <v/>
      </c>
      <c r="M860" s="30" t="str">
        <f t="shared" si="69"/>
        <v/>
      </c>
    </row>
    <row r="861" spans="1:13" x14ac:dyDescent="0.2">
      <c r="A861" s="35"/>
      <c r="B861" s="21"/>
      <c r="C861" s="18"/>
      <c r="D861" s="20"/>
      <c r="E861" s="20"/>
      <c r="F861" s="21"/>
      <c r="G861" s="21"/>
      <c r="H861" s="18"/>
      <c r="I861" s="30" t="str">
        <f t="shared" si="65"/>
        <v/>
      </c>
      <c r="J861" s="38" t="str">
        <f t="shared" si="66"/>
        <v/>
      </c>
      <c r="K861" s="30" t="str">
        <f t="shared" si="67"/>
        <v/>
      </c>
      <c r="L861" s="30" t="str">
        <f t="shared" si="68"/>
        <v/>
      </c>
      <c r="M861" s="30" t="str">
        <f t="shared" si="69"/>
        <v/>
      </c>
    </row>
    <row r="862" spans="1:13" x14ac:dyDescent="0.2">
      <c r="A862" s="35"/>
      <c r="B862" s="21"/>
      <c r="C862" s="18"/>
      <c r="D862" s="20"/>
      <c r="E862" s="20"/>
      <c r="F862" s="21"/>
      <c r="G862" s="21"/>
      <c r="H862" s="18"/>
      <c r="I862" s="30" t="str">
        <f t="shared" si="65"/>
        <v/>
      </c>
      <c r="J862" s="38" t="str">
        <f t="shared" si="66"/>
        <v/>
      </c>
      <c r="K862" s="30" t="str">
        <f t="shared" si="67"/>
        <v/>
      </c>
      <c r="L862" s="30" t="str">
        <f t="shared" si="68"/>
        <v/>
      </c>
      <c r="M862" s="30" t="str">
        <f t="shared" si="69"/>
        <v/>
      </c>
    </row>
    <row r="863" spans="1:13" x14ac:dyDescent="0.2">
      <c r="A863" s="35"/>
      <c r="B863" s="21"/>
      <c r="C863" s="18"/>
      <c r="D863" s="20"/>
      <c r="E863" s="20"/>
      <c r="F863" s="21"/>
      <c r="G863" s="21"/>
      <c r="H863" s="18"/>
      <c r="I863" s="30" t="str">
        <f t="shared" si="65"/>
        <v/>
      </c>
      <c r="J863" s="38" t="str">
        <f t="shared" si="66"/>
        <v/>
      </c>
      <c r="K863" s="30" t="str">
        <f t="shared" si="67"/>
        <v/>
      </c>
      <c r="L863" s="30" t="str">
        <f t="shared" si="68"/>
        <v/>
      </c>
      <c r="M863" s="30" t="str">
        <f t="shared" si="69"/>
        <v/>
      </c>
    </row>
    <row r="864" spans="1:13" x14ac:dyDescent="0.2">
      <c r="A864" s="35"/>
      <c r="B864" s="21"/>
      <c r="C864" s="18"/>
      <c r="D864" s="20"/>
      <c r="E864" s="20"/>
      <c r="F864" s="21"/>
      <c r="G864" s="21"/>
      <c r="H864" s="18"/>
      <c r="I864" s="30" t="str">
        <f t="shared" si="65"/>
        <v/>
      </c>
      <c r="J864" s="38" t="str">
        <f t="shared" si="66"/>
        <v/>
      </c>
      <c r="K864" s="30" t="str">
        <f t="shared" si="67"/>
        <v/>
      </c>
      <c r="L864" s="30" t="str">
        <f t="shared" si="68"/>
        <v/>
      </c>
      <c r="M864" s="30" t="str">
        <f t="shared" si="69"/>
        <v/>
      </c>
    </row>
    <row r="865" spans="1:13" x14ac:dyDescent="0.2">
      <c r="A865" s="35"/>
      <c r="B865" s="21"/>
      <c r="C865" s="18"/>
      <c r="D865" s="20"/>
      <c r="E865" s="20"/>
      <c r="F865" s="21"/>
      <c r="G865" s="21"/>
      <c r="H865" s="18"/>
      <c r="I865" s="30" t="str">
        <f t="shared" si="65"/>
        <v/>
      </c>
      <c r="J865" s="38" t="str">
        <f t="shared" si="66"/>
        <v/>
      </c>
      <c r="K865" s="30" t="str">
        <f t="shared" si="67"/>
        <v/>
      </c>
      <c r="L865" s="30" t="str">
        <f t="shared" si="68"/>
        <v/>
      </c>
      <c r="M865" s="30" t="str">
        <f t="shared" si="69"/>
        <v/>
      </c>
    </row>
    <row r="866" spans="1:13" x14ac:dyDescent="0.2">
      <c r="A866" s="35"/>
      <c r="B866" s="21"/>
      <c r="C866" s="18"/>
      <c r="D866" s="20"/>
      <c r="E866" s="20"/>
      <c r="F866" s="21"/>
      <c r="G866" s="21"/>
      <c r="H866" s="18"/>
      <c r="I866" s="30" t="str">
        <f t="shared" si="65"/>
        <v/>
      </c>
      <c r="J866" s="38" t="str">
        <f t="shared" si="66"/>
        <v/>
      </c>
      <c r="K866" s="30" t="str">
        <f t="shared" si="67"/>
        <v/>
      </c>
      <c r="L866" s="30" t="str">
        <f t="shared" si="68"/>
        <v/>
      </c>
      <c r="M866" s="30" t="str">
        <f t="shared" si="69"/>
        <v/>
      </c>
    </row>
    <row r="867" spans="1:13" x14ac:dyDescent="0.2">
      <c r="A867" s="35"/>
      <c r="B867" s="21"/>
      <c r="C867" s="18"/>
      <c r="D867" s="20"/>
      <c r="E867" s="20"/>
      <c r="F867" s="21"/>
      <c r="G867" s="21"/>
      <c r="H867" s="18"/>
      <c r="I867" s="30" t="str">
        <f t="shared" si="65"/>
        <v/>
      </c>
      <c r="J867" s="38" t="str">
        <f t="shared" si="66"/>
        <v/>
      </c>
      <c r="K867" s="30" t="str">
        <f t="shared" si="67"/>
        <v/>
      </c>
      <c r="L867" s="30" t="str">
        <f t="shared" si="68"/>
        <v/>
      </c>
      <c r="M867" s="30" t="str">
        <f t="shared" si="69"/>
        <v/>
      </c>
    </row>
    <row r="868" spans="1:13" x14ac:dyDescent="0.2">
      <c r="A868" s="35"/>
      <c r="B868" s="21"/>
      <c r="C868" s="18"/>
      <c r="D868" s="20"/>
      <c r="E868" s="20"/>
      <c r="F868" s="21"/>
      <c r="G868" s="21"/>
      <c r="H868" s="18"/>
      <c r="I868" s="30" t="str">
        <f t="shared" si="65"/>
        <v/>
      </c>
      <c r="J868" s="38" t="str">
        <f t="shared" si="66"/>
        <v/>
      </c>
      <c r="K868" s="30" t="str">
        <f t="shared" si="67"/>
        <v/>
      </c>
      <c r="L868" s="30" t="str">
        <f t="shared" si="68"/>
        <v/>
      </c>
      <c r="M868" s="30" t="str">
        <f t="shared" si="69"/>
        <v/>
      </c>
    </row>
    <row r="869" spans="1:13" x14ac:dyDescent="0.2">
      <c r="A869" s="35"/>
      <c r="B869" s="21"/>
      <c r="C869" s="18"/>
      <c r="D869" s="20"/>
      <c r="E869" s="20"/>
      <c r="F869" s="21"/>
      <c r="G869" s="21"/>
      <c r="H869" s="18"/>
      <c r="I869" s="30" t="str">
        <f t="shared" si="65"/>
        <v/>
      </c>
      <c r="J869" s="38" t="str">
        <f t="shared" si="66"/>
        <v/>
      </c>
      <c r="K869" s="30" t="str">
        <f t="shared" si="67"/>
        <v/>
      </c>
      <c r="L869" s="30" t="str">
        <f t="shared" si="68"/>
        <v/>
      </c>
      <c r="M869" s="30" t="str">
        <f t="shared" si="69"/>
        <v/>
      </c>
    </row>
    <row r="870" spans="1:13" x14ac:dyDescent="0.2">
      <c r="A870" s="35"/>
      <c r="B870" s="21"/>
      <c r="C870" s="18"/>
      <c r="D870" s="20"/>
      <c r="E870" s="20"/>
      <c r="F870" s="21"/>
      <c r="G870" s="21"/>
      <c r="H870" s="18"/>
      <c r="I870" s="30" t="str">
        <f t="shared" si="65"/>
        <v/>
      </c>
      <c r="J870" s="38" t="str">
        <f t="shared" si="66"/>
        <v/>
      </c>
      <c r="K870" s="30" t="str">
        <f t="shared" si="67"/>
        <v/>
      </c>
      <c r="L870" s="30" t="str">
        <f t="shared" si="68"/>
        <v/>
      </c>
      <c r="M870" s="30" t="str">
        <f t="shared" si="69"/>
        <v/>
      </c>
    </row>
    <row r="871" spans="1:13" x14ac:dyDescent="0.2">
      <c r="A871" s="35"/>
      <c r="B871" s="21"/>
      <c r="C871" s="18"/>
      <c r="D871" s="20"/>
      <c r="E871" s="20"/>
      <c r="F871" s="21"/>
      <c r="G871" s="21"/>
      <c r="H871" s="18"/>
      <c r="I871" s="30" t="str">
        <f t="shared" si="65"/>
        <v/>
      </c>
      <c r="J871" s="38" t="str">
        <f t="shared" si="66"/>
        <v/>
      </c>
      <c r="K871" s="30" t="str">
        <f t="shared" si="67"/>
        <v/>
      </c>
      <c r="L871" s="30" t="str">
        <f t="shared" si="68"/>
        <v/>
      </c>
      <c r="M871" s="30" t="str">
        <f t="shared" si="69"/>
        <v/>
      </c>
    </row>
    <row r="872" spans="1:13" x14ac:dyDescent="0.2">
      <c r="A872" s="35"/>
      <c r="B872" s="21"/>
      <c r="C872" s="18"/>
      <c r="D872" s="20"/>
      <c r="E872" s="20"/>
      <c r="F872" s="21"/>
      <c r="G872" s="21"/>
      <c r="H872" s="18"/>
      <c r="I872" s="30" t="str">
        <f t="shared" si="65"/>
        <v/>
      </c>
      <c r="J872" s="38" t="str">
        <f t="shared" si="66"/>
        <v/>
      </c>
      <c r="K872" s="30" t="str">
        <f t="shared" si="67"/>
        <v/>
      </c>
      <c r="L872" s="30" t="str">
        <f t="shared" si="68"/>
        <v/>
      </c>
      <c r="M872" s="30" t="str">
        <f t="shared" si="69"/>
        <v/>
      </c>
    </row>
    <row r="873" spans="1:13" x14ac:dyDescent="0.2">
      <c r="A873" s="35"/>
      <c r="B873" s="21"/>
      <c r="C873" s="18"/>
      <c r="D873" s="20"/>
      <c r="E873" s="20"/>
      <c r="F873" s="21"/>
      <c r="G873" s="21"/>
      <c r="H873" s="18"/>
      <c r="I873" s="30" t="str">
        <f t="shared" si="65"/>
        <v/>
      </c>
      <c r="J873" s="38" t="str">
        <f t="shared" si="66"/>
        <v/>
      </c>
      <c r="K873" s="30" t="str">
        <f t="shared" si="67"/>
        <v/>
      </c>
      <c r="L873" s="30" t="str">
        <f t="shared" si="68"/>
        <v/>
      </c>
      <c r="M873" s="30" t="str">
        <f t="shared" si="69"/>
        <v/>
      </c>
    </row>
    <row r="874" spans="1:13" x14ac:dyDescent="0.2">
      <c r="A874" s="35"/>
      <c r="B874" s="21"/>
      <c r="C874" s="18"/>
      <c r="D874" s="20"/>
      <c r="E874" s="20"/>
      <c r="F874" s="21"/>
      <c r="G874" s="21"/>
      <c r="H874" s="18"/>
      <c r="I874" s="30" t="str">
        <f t="shared" si="65"/>
        <v/>
      </c>
      <c r="J874" s="38" t="str">
        <f t="shared" si="66"/>
        <v/>
      </c>
      <c r="K874" s="30" t="str">
        <f t="shared" si="67"/>
        <v/>
      </c>
      <c r="L874" s="30" t="str">
        <f t="shared" si="68"/>
        <v/>
      </c>
      <c r="M874" s="30" t="str">
        <f t="shared" si="69"/>
        <v/>
      </c>
    </row>
    <row r="875" spans="1:13" x14ac:dyDescent="0.2">
      <c r="A875" s="35"/>
      <c r="B875" s="21"/>
      <c r="C875" s="18"/>
      <c r="D875" s="20"/>
      <c r="E875" s="20"/>
      <c r="F875" s="21"/>
      <c r="G875" s="21"/>
      <c r="H875" s="18"/>
      <c r="I875" s="30" t="str">
        <f t="shared" si="65"/>
        <v/>
      </c>
      <c r="J875" s="38" t="str">
        <f t="shared" si="66"/>
        <v/>
      </c>
      <c r="K875" s="30" t="str">
        <f t="shared" si="67"/>
        <v/>
      </c>
      <c r="L875" s="30" t="str">
        <f t="shared" si="68"/>
        <v/>
      </c>
      <c r="M875" s="30" t="str">
        <f t="shared" si="69"/>
        <v/>
      </c>
    </row>
    <row r="876" spans="1:13" x14ac:dyDescent="0.2">
      <c r="A876" s="35"/>
      <c r="B876" s="21"/>
      <c r="C876" s="18"/>
      <c r="D876" s="20"/>
      <c r="E876" s="20"/>
      <c r="F876" s="21"/>
      <c r="G876" s="21"/>
      <c r="H876" s="18"/>
      <c r="I876" s="30" t="str">
        <f t="shared" si="65"/>
        <v/>
      </c>
      <c r="J876" s="38" t="str">
        <f t="shared" si="66"/>
        <v/>
      </c>
      <c r="K876" s="30" t="str">
        <f t="shared" si="67"/>
        <v/>
      </c>
      <c r="L876" s="30" t="str">
        <f t="shared" si="68"/>
        <v/>
      </c>
      <c r="M876" s="30" t="str">
        <f t="shared" si="69"/>
        <v/>
      </c>
    </row>
    <row r="877" spans="1:13" x14ac:dyDescent="0.2">
      <c r="A877" s="35"/>
      <c r="B877" s="21"/>
      <c r="C877" s="18"/>
      <c r="D877" s="20"/>
      <c r="E877" s="20"/>
      <c r="F877" s="21"/>
      <c r="G877" s="21"/>
      <c r="H877" s="18"/>
      <c r="I877" s="30" t="str">
        <f t="shared" si="65"/>
        <v/>
      </c>
      <c r="J877" s="38" t="str">
        <f t="shared" si="66"/>
        <v/>
      </c>
      <c r="K877" s="30" t="str">
        <f t="shared" si="67"/>
        <v/>
      </c>
      <c r="L877" s="30" t="str">
        <f t="shared" si="68"/>
        <v/>
      </c>
      <c r="M877" s="30" t="str">
        <f t="shared" si="69"/>
        <v/>
      </c>
    </row>
    <row r="878" spans="1:13" x14ac:dyDescent="0.2">
      <c r="A878" s="35"/>
      <c r="B878" s="21"/>
      <c r="C878" s="18"/>
      <c r="D878" s="20"/>
      <c r="E878" s="20"/>
      <c r="F878" s="21"/>
      <c r="G878" s="21"/>
      <c r="H878" s="18"/>
      <c r="I878" s="30" t="str">
        <f t="shared" si="65"/>
        <v/>
      </c>
      <c r="J878" s="38" t="str">
        <f t="shared" si="66"/>
        <v/>
      </c>
      <c r="K878" s="30" t="str">
        <f t="shared" si="67"/>
        <v/>
      </c>
      <c r="L878" s="30" t="str">
        <f t="shared" si="68"/>
        <v/>
      </c>
      <c r="M878" s="30" t="str">
        <f t="shared" si="69"/>
        <v/>
      </c>
    </row>
    <row r="879" spans="1:13" x14ac:dyDescent="0.2">
      <c r="A879" s="35"/>
      <c r="B879" s="21"/>
      <c r="C879" s="18"/>
      <c r="D879" s="20"/>
      <c r="E879" s="20"/>
      <c r="F879" s="21"/>
      <c r="G879" s="21"/>
      <c r="H879" s="18"/>
      <c r="I879" s="30" t="str">
        <f t="shared" si="65"/>
        <v/>
      </c>
      <c r="J879" s="38" t="str">
        <f t="shared" si="66"/>
        <v/>
      </c>
      <c r="K879" s="30" t="str">
        <f t="shared" si="67"/>
        <v/>
      </c>
      <c r="L879" s="30" t="str">
        <f t="shared" si="68"/>
        <v/>
      </c>
      <c r="M879" s="30" t="str">
        <f t="shared" si="69"/>
        <v/>
      </c>
    </row>
    <row r="880" spans="1:13" x14ac:dyDescent="0.2">
      <c r="A880" s="35"/>
      <c r="B880" s="21"/>
      <c r="C880" s="18"/>
      <c r="D880" s="20"/>
      <c r="E880" s="20"/>
      <c r="F880" s="21"/>
      <c r="G880" s="21"/>
      <c r="H880" s="18"/>
      <c r="I880" s="30" t="str">
        <f t="shared" si="65"/>
        <v/>
      </c>
      <c r="J880" s="38" t="str">
        <f t="shared" si="66"/>
        <v/>
      </c>
      <c r="K880" s="30" t="str">
        <f t="shared" si="67"/>
        <v/>
      </c>
      <c r="L880" s="30" t="str">
        <f t="shared" si="68"/>
        <v/>
      </c>
      <c r="M880" s="30" t="str">
        <f t="shared" si="69"/>
        <v/>
      </c>
    </row>
    <row r="881" spans="1:13" x14ac:dyDescent="0.2">
      <c r="A881" s="35"/>
      <c r="B881" s="21"/>
      <c r="C881" s="18"/>
      <c r="D881" s="20"/>
      <c r="E881" s="20"/>
      <c r="F881" s="21"/>
      <c r="G881" s="21"/>
      <c r="H881" s="18"/>
      <c r="I881" s="30" t="str">
        <f t="shared" si="65"/>
        <v/>
      </c>
      <c r="J881" s="38" t="str">
        <f t="shared" si="66"/>
        <v/>
      </c>
      <c r="K881" s="30" t="str">
        <f t="shared" si="67"/>
        <v/>
      </c>
      <c r="L881" s="30" t="str">
        <f t="shared" si="68"/>
        <v/>
      </c>
      <c r="M881" s="30" t="str">
        <f t="shared" si="69"/>
        <v/>
      </c>
    </row>
    <row r="882" spans="1:13" x14ac:dyDescent="0.2">
      <c r="A882" s="35"/>
      <c r="B882" s="21"/>
      <c r="C882" s="18"/>
      <c r="D882" s="20"/>
      <c r="E882" s="20"/>
      <c r="F882" s="21"/>
      <c r="G882" s="21"/>
      <c r="H882" s="18"/>
      <c r="I882" s="30" t="str">
        <f t="shared" si="65"/>
        <v/>
      </c>
      <c r="J882" s="38" t="str">
        <f t="shared" si="66"/>
        <v/>
      </c>
      <c r="K882" s="30" t="str">
        <f t="shared" si="67"/>
        <v/>
      </c>
      <c r="L882" s="30" t="str">
        <f t="shared" si="68"/>
        <v/>
      </c>
      <c r="M882" s="30" t="str">
        <f t="shared" si="69"/>
        <v/>
      </c>
    </row>
    <row r="883" spans="1:13" x14ac:dyDescent="0.2">
      <c r="A883" s="35"/>
      <c r="B883" s="21"/>
      <c r="C883" s="18"/>
      <c r="D883" s="20"/>
      <c r="E883" s="20"/>
      <c r="F883" s="21"/>
      <c r="G883" s="21"/>
      <c r="H883" s="18"/>
      <c r="I883" s="30" t="str">
        <f t="shared" si="65"/>
        <v/>
      </c>
      <c r="J883" s="38" t="str">
        <f t="shared" si="66"/>
        <v/>
      </c>
      <c r="K883" s="30" t="str">
        <f t="shared" si="67"/>
        <v/>
      </c>
      <c r="L883" s="30" t="str">
        <f t="shared" si="68"/>
        <v/>
      </c>
      <c r="M883" s="30" t="str">
        <f t="shared" si="69"/>
        <v/>
      </c>
    </row>
    <row r="884" spans="1:13" x14ac:dyDescent="0.2">
      <c r="A884" s="35"/>
      <c r="B884" s="21"/>
      <c r="C884" s="18"/>
      <c r="D884" s="20"/>
      <c r="E884" s="20"/>
      <c r="F884" s="21"/>
      <c r="G884" s="21"/>
      <c r="H884" s="18"/>
      <c r="I884" s="30" t="str">
        <f t="shared" si="65"/>
        <v/>
      </c>
      <c r="J884" s="38" t="str">
        <f t="shared" si="66"/>
        <v/>
      </c>
      <c r="K884" s="30" t="str">
        <f t="shared" si="67"/>
        <v/>
      </c>
      <c r="L884" s="30" t="str">
        <f t="shared" si="68"/>
        <v/>
      </c>
      <c r="M884" s="30" t="str">
        <f t="shared" si="69"/>
        <v/>
      </c>
    </row>
    <row r="885" spans="1:13" x14ac:dyDescent="0.2">
      <c r="A885" s="35"/>
      <c r="B885" s="21"/>
      <c r="C885" s="18"/>
      <c r="D885" s="20"/>
      <c r="E885" s="20"/>
      <c r="F885" s="21"/>
      <c r="G885" s="21"/>
      <c r="H885" s="18"/>
      <c r="I885" s="30" t="str">
        <f t="shared" si="65"/>
        <v/>
      </c>
      <c r="J885" s="38" t="str">
        <f t="shared" si="66"/>
        <v/>
      </c>
      <c r="K885" s="30" t="str">
        <f t="shared" si="67"/>
        <v/>
      </c>
      <c r="L885" s="30" t="str">
        <f t="shared" si="68"/>
        <v/>
      </c>
      <c r="M885" s="30" t="str">
        <f t="shared" si="69"/>
        <v/>
      </c>
    </row>
    <row r="886" spans="1:13" x14ac:dyDescent="0.2">
      <c r="A886" s="35"/>
      <c r="B886" s="21"/>
      <c r="C886" s="18"/>
      <c r="D886" s="20"/>
      <c r="E886" s="20"/>
      <c r="F886" s="21"/>
      <c r="G886" s="21"/>
      <c r="H886" s="18"/>
      <c r="I886" s="30" t="str">
        <f t="shared" si="65"/>
        <v/>
      </c>
      <c r="J886" s="38" t="str">
        <f t="shared" si="66"/>
        <v/>
      </c>
      <c r="K886" s="30" t="str">
        <f t="shared" si="67"/>
        <v/>
      </c>
      <c r="L886" s="30" t="str">
        <f t="shared" si="68"/>
        <v/>
      </c>
      <c r="M886" s="30" t="str">
        <f t="shared" si="69"/>
        <v/>
      </c>
    </row>
    <row r="887" spans="1:13" x14ac:dyDescent="0.2">
      <c r="A887" s="35"/>
      <c r="B887" s="21"/>
      <c r="C887" s="18"/>
      <c r="D887" s="20"/>
      <c r="E887" s="20"/>
      <c r="F887" s="21"/>
      <c r="G887" s="21"/>
      <c r="H887" s="18"/>
      <c r="I887" s="30" t="str">
        <f t="shared" si="65"/>
        <v/>
      </c>
      <c r="J887" s="38" t="str">
        <f t="shared" si="66"/>
        <v/>
      </c>
      <c r="K887" s="30" t="str">
        <f t="shared" si="67"/>
        <v/>
      </c>
      <c r="L887" s="30" t="str">
        <f t="shared" si="68"/>
        <v/>
      </c>
      <c r="M887" s="30" t="str">
        <f t="shared" si="69"/>
        <v/>
      </c>
    </row>
    <row r="888" spans="1:13" x14ac:dyDescent="0.2">
      <c r="A888" s="35"/>
      <c r="B888" s="21"/>
      <c r="C888" s="18"/>
      <c r="D888" s="20"/>
      <c r="E888" s="20"/>
      <c r="F888" s="21"/>
      <c r="G888" s="21"/>
      <c r="H888" s="18"/>
      <c r="I888" s="30" t="str">
        <f t="shared" si="65"/>
        <v/>
      </c>
      <c r="J888" s="38" t="str">
        <f t="shared" si="66"/>
        <v/>
      </c>
      <c r="K888" s="30" t="str">
        <f t="shared" si="67"/>
        <v/>
      </c>
      <c r="L888" s="30" t="str">
        <f t="shared" si="68"/>
        <v/>
      </c>
      <c r="M888" s="30" t="str">
        <f t="shared" si="69"/>
        <v/>
      </c>
    </row>
    <row r="889" spans="1:13" x14ac:dyDescent="0.2">
      <c r="A889" s="35"/>
      <c r="B889" s="21"/>
      <c r="C889" s="18"/>
      <c r="D889" s="20"/>
      <c r="E889" s="20"/>
      <c r="F889" s="21"/>
      <c r="G889" s="21"/>
      <c r="H889" s="18"/>
      <c r="I889" s="30" t="str">
        <f t="shared" si="65"/>
        <v/>
      </c>
      <c r="J889" s="38" t="str">
        <f t="shared" si="66"/>
        <v/>
      </c>
      <c r="K889" s="30" t="str">
        <f t="shared" si="67"/>
        <v/>
      </c>
      <c r="L889" s="30" t="str">
        <f t="shared" si="68"/>
        <v/>
      </c>
      <c r="M889" s="30" t="str">
        <f t="shared" si="69"/>
        <v/>
      </c>
    </row>
    <row r="890" spans="1:13" x14ac:dyDescent="0.2">
      <c r="A890" s="35"/>
      <c r="B890" s="21"/>
      <c r="C890" s="18"/>
      <c r="D890" s="20"/>
      <c r="E890" s="20"/>
      <c r="F890" s="21"/>
      <c r="G890" s="21"/>
      <c r="H890" s="18"/>
      <c r="I890" s="30" t="str">
        <f t="shared" si="65"/>
        <v/>
      </c>
      <c r="J890" s="38" t="str">
        <f t="shared" si="66"/>
        <v/>
      </c>
      <c r="K890" s="30" t="str">
        <f t="shared" si="67"/>
        <v/>
      </c>
      <c r="L890" s="30" t="str">
        <f t="shared" si="68"/>
        <v/>
      </c>
      <c r="M890" s="30" t="str">
        <f t="shared" si="69"/>
        <v/>
      </c>
    </row>
    <row r="891" spans="1:13" x14ac:dyDescent="0.2">
      <c r="A891" s="35"/>
      <c r="B891" s="21"/>
      <c r="C891" s="18"/>
      <c r="D891" s="20"/>
      <c r="E891" s="20"/>
      <c r="F891" s="21"/>
      <c r="G891" s="21"/>
      <c r="H891" s="18"/>
      <c r="I891" s="30" t="str">
        <f t="shared" si="65"/>
        <v/>
      </c>
      <c r="J891" s="38" t="str">
        <f t="shared" si="66"/>
        <v/>
      </c>
      <c r="K891" s="30" t="str">
        <f t="shared" si="67"/>
        <v/>
      </c>
      <c r="L891" s="30" t="str">
        <f t="shared" si="68"/>
        <v/>
      </c>
      <c r="M891" s="30" t="str">
        <f t="shared" si="69"/>
        <v/>
      </c>
    </row>
    <row r="892" spans="1:13" x14ac:dyDescent="0.2">
      <c r="A892" s="35"/>
      <c r="B892" s="21"/>
      <c r="C892" s="18"/>
      <c r="D892" s="20"/>
      <c r="E892" s="20"/>
      <c r="F892" s="21"/>
      <c r="G892" s="21"/>
      <c r="H892" s="18"/>
      <c r="I892" s="30" t="str">
        <f t="shared" si="65"/>
        <v/>
      </c>
      <c r="J892" s="38" t="str">
        <f t="shared" si="66"/>
        <v/>
      </c>
      <c r="K892" s="30" t="str">
        <f t="shared" si="67"/>
        <v/>
      </c>
      <c r="L892" s="30" t="str">
        <f t="shared" si="68"/>
        <v/>
      </c>
      <c r="M892" s="30" t="str">
        <f t="shared" si="69"/>
        <v/>
      </c>
    </row>
    <row r="893" spans="1:13" x14ac:dyDescent="0.2">
      <c r="A893" s="35"/>
      <c r="B893" s="21"/>
      <c r="C893" s="18"/>
      <c r="D893" s="20"/>
      <c r="E893" s="20"/>
      <c r="F893" s="21"/>
      <c r="G893" s="21"/>
      <c r="H893" s="18"/>
      <c r="I893" s="30" t="str">
        <f t="shared" si="65"/>
        <v/>
      </c>
      <c r="J893" s="38" t="str">
        <f t="shared" si="66"/>
        <v/>
      </c>
      <c r="K893" s="30" t="str">
        <f t="shared" si="67"/>
        <v/>
      </c>
      <c r="L893" s="30" t="str">
        <f t="shared" si="68"/>
        <v/>
      </c>
      <c r="M893" s="30" t="str">
        <f t="shared" si="69"/>
        <v/>
      </c>
    </row>
    <row r="894" spans="1:13" x14ac:dyDescent="0.2">
      <c r="A894" s="35"/>
      <c r="B894" s="21"/>
      <c r="C894" s="18"/>
      <c r="D894" s="20"/>
      <c r="E894" s="20"/>
      <c r="F894" s="21"/>
      <c r="G894" s="21"/>
      <c r="H894" s="18"/>
      <c r="I894" s="30" t="str">
        <f t="shared" si="65"/>
        <v/>
      </c>
      <c r="J894" s="38" t="str">
        <f t="shared" si="66"/>
        <v/>
      </c>
      <c r="K894" s="30" t="str">
        <f t="shared" si="67"/>
        <v/>
      </c>
      <c r="L894" s="30" t="str">
        <f t="shared" si="68"/>
        <v/>
      </c>
      <c r="M894" s="30" t="str">
        <f t="shared" si="69"/>
        <v/>
      </c>
    </row>
    <row r="895" spans="1:13" x14ac:dyDescent="0.2">
      <c r="A895" s="35"/>
      <c r="B895" s="21"/>
      <c r="C895" s="18"/>
      <c r="D895" s="20"/>
      <c r="E895" s="20"/>
      <c r="F895" s="21"/>
      <c r="G895" s="21"/>
      <c r="H895" s="18"/>
      <c r="I895" s="30" t="str">
        <f t="shared" si="65"/>
        <v/>
      </c>
      <c r="J895" s="38" t="str">
        <f t="shared" si="66"/>
        <v/>
      </c>
      <c r="K895" s="30" t="str">
        <f t="shared" si="67"/>
        <v/>
      </c>
      <c r="L895" s="30" t="str">
        <f t="shared" si="68"/>
        <v/>
      </c>
      <c r="M895" s="30" t="str">
        <f t="shared" si="69"/>
        <v/>
      </c>
    </row>
    <row r="896" spans="1:13" x14ac:dyDescent="0.2">
      <c r="A896" s="35"/>
      <c r="B896" s="21"/>
      <c r="C896" s="18"/>
      <c r="D896" s="20"/>
      <c r="E896" s="20"/>
      <c r="F896" s="21"/>
      <c r="G896" s="21"/>
      <c r="H896" s="18"/>
      <c r="I896" s="30" t="str">
        <f t="shared" si="65"/>
        <v/>
      </c>
      <c r="J896" s="38" t="str">
        <f t="shared" si="66"/>
        <v/>
      </c>
      <c r="K896" s="30" t="str">
        <f t="shared" si="67"/>
        <v/>
      </c>
      <c r="L896" s="30" t="str">
        <f t="shared" si="68"/>
        <v/>
      </c>
      <c r="M896" s="30" t="str">
        <f t="shared" si="69"/>
        <v/>
      </c>
    </row>
    <row r="897" spans="1:13" x14ac:dyDescent="0.2">
      <c r="A897" s="35"/>
      <c r="B897" s="21"/>
      <c r="C897" s="18"/>
      <c r="D897" s="20"/>
      <c r="E897" s="20"/>
      <c r="F897" s="21"/>
      <c r="G897" s="21"/>
      <c r="H897" s="18"/>
      <c r="I897" s="30" t="str">
        <f t="shared" si="65"/>
        <v/>
      </c>
      <c r="J897" s="38" t="str">
        <f t="shared" si="66"/>
        <v/>
      </c>
      <c r="K897" s="30" t="str">
        <f t="shared" si="67"/>
        <v/>
      </c>
      <c r="L897" s="30" t="str">
        <f t="shared" si="68"/>
        <v/>
      </c>
      <c r="M897" s="30" t="str">
        <f t="shared" si="69"/>
        <v/>
      </c>
    </row>
    <row r="898" spans="1:13" x14ac:dyDescent="0.2">
      <c r="A898" s="35"/>
      <c r="B898" s="21"/>
      <c r="C898" s="18"/>
      <c r="D898" s="20"/>
      <c r="E898" s="20"/>
      <c r="F898" s="21"/>
      <c r="G898" s="21"/>
      <c r="H898" s="18"/>
      <c r="I898" s="30" t="str">
        <f t="shared" si="65"/>
        <v/>
      </c>
      <c r="J898" s="38" t="str">
        <f t="shared" si="66"/>
        <v/>
      </c>
      <c r="K898" s="30" t="str">
        <f t="shared" si="67"/>
        <v/>
      </c>
      <c r="L898" s="30" t="str">
        <f t="shared" si="68"/>
        <v/>
      </c>
      <c r="M898" s="30" t="str">
        <f t="shared" si="69"/>
        <v/>
      </c>
    </row>
    <row r="899" spans="1:13" x14ac:dyDescent="0.2">
      <c r="A899" s="35"/>
      <c r="B899" s="21"/>
      <c r="C899" s="18"/>
      <c r="D899" s="20"/>
      <c r="E899" s="20"/>
      <c r="F899" s="21"/>
      <c r="G899" s="21"/>
      <c r="H899" s="18"/>
      <c r="I899" s="30" t="str">
        <f t="shared" si="65"/>
        <v/>
      </c>
      <c r="J899" s="38" t="str">
        <f t="shared" si="66"/>
        <v/>
      </c>
      <c r="K899" s="30" t="str">
        <f t="shared" si="67"/>
        <v/>
      </c>
      <c r="L899" s="30" t="str">
        <f t="shared" si="68"/>
        <v/>
      </c>
      <c r="M899" s="30" t="str">
        <f t="shared" si="69"/>
        <v/>
      </c>
    </row>
    <row r="900" spans="1:13" x14ac:dyDescent="0.2">
      <c r="A900" s="35"/>
      <c r="B900" s="21"/>
      <c r="C900" s="18"/>
      <c r="D900" s="20"/>
      <c r="E900" s="20"/>
      <c r="F900" s="21"/>
      <c r="G900" s="21"/>
      <c r="H900" s="18"/>
      <c r="I900" s="30" t="str">
        <f t="shared" si="65"/>
        <v/>
      </c>
      <c r="J900" s="38" t="str">
        <f t="shared" si="66"/>
        <v/>
      </c>
      <c r="K900" s="30" t="str">
        <f t="shared" si="67"/>
        <v/>
      </c>
      <c r="L900" s="30" t="str">
        <f t="shared" si="68"/>
        <v/>
      </c>
      <c r="M900" s="30" t="str">
        <f t="shared" si="69"/>
        <v/>
      </c>
    </row>
    <row r="901" spans="1:13" x14ac:dyDescent="0.2">
      <c r="A901" s="35"/>
      <c r="B901" s="21"/>
      <c r="C901" s="18"/>
      <c r="D901" s="20"/>
      <c r="E901" s="20"/>
      <c r="F901" s="21"/>
      <c r="G901" s="21"/>
      <c r="H901" s="18"/>
      <c r="I901" s="30" t="str">
        <f t="shared" si="65"/>
        <v/>
      </c>
      <c r="J901" s="38" t="str">
        <f t="shared" si="66"/>
        <v/>
      </c>
      <c r="K901" s="30" t="str">
        <f t="shared" si="67"/>
        <v/>
      </c>
      <c r="L901" s="30" t="str">
        <f t="shared" si="68"/>
        <v/>
      </c>
      <c r="M901" s="30" t="str">
        <f t="shared" si="69"/>
        <v/>
      </c>
    </row>
    <row r="902" spans="1:13" x14ac:dyDescent="0.2">
      <c r="A902" s="35"/>
      <c r="B902" s="21"/>
      <c r="C902" s="18"/>
      <c r="D902" s="20"/>
      <c r="E902" s="20"/>
      <c r="F902" s="21"/>
      <c r="G902" s="21"/>
      <c r="H902" s="18"/>
      <c r="I902" s="30" t="str">
        <f t="shared" ref="I902:I965" si="70">IF(OR(D902="",E902=""),"",ROUND(MOD(E902-D902,1)*1440,0))</f>
        <v/>
      </c>
      <c r="J902" s="38" t="str">
        <f t="shared" ref="J902:J965" si="71">IF(F902="","",IFERROR(INDEX(LYDO_TEN,MATCH(F902,DS_LYDO,0)),"?"))</f>
        <v/>
      </c>
      <c r="K902" s="30" t="str">
        <f t="shared" ref="K902:K965" si="72">IF(F902="","",IFERROR(INDEX(LYDO_LOAI,MATCH(F902,DS_LYDO,0)),"?"))</f>
        <v/>
      </c>
      <c r="L902" s="30" t="str">
        <f t="shared" ref="L902:L965" si="73">IF(F902="","",IFERROR(INDEX(LYDO_BP,MATCH(F902,DS_LYDO,0)),"?"))</f>
        <v/>
      </c>
      <c r="M902" s="30" t="str">
        <f t="shared" ref="M902:M965" si="74">IF(I902="","",IF(MOD(I902,5)=0,1,0))</f>
        <v/>
      </c>
    </row>
    <row r="903" spans="1:13" x14ac:dyDescent="0.2">
      <c r="A903" s="35"/>
      <c r="B903" s="21"/>
      <c r="C903" s="18"/>
      <c r="D903" s="20"/>
      <c r="E903" s="20"/>
      <c r="F903" s="21"/>
      <c r="G903" s="21"/>
      <c r="H903" s="18"/>
      <c r="I903" s="30" t="str">
        <f t="shared" si="70"/>
        <v/>
      </c>
      <c r="J903" s="38" t="str">
        <f t="shared" si="71"/>
        <v/>
      </c>
      <c r="K903" s="30" t="str">
        <f t="shared" si="72"/>
        <v/>
      </c>
      <c r="L903" s="30" t="str">
        <f t="shared" si="73"/>
        <v/>
      </c>
      <c r="M903" s="30" t="str">
        <f t="shared" si="74"/>
        <v/>
      </c>
    </row>
    <row r="904" spans="1:13" x14ac:dyDescent="0.2">
      <c r="A904" s="35"/>
      <c r="B904" s="21"/>
      <c r="C904" s="18"/>
      <c r="D904" s="20"/>
      <c r="E904" s="20"/>
      <c r="F904" s="21"/>
      <c r="G904" s="21"/>
      <c r="H904" s="18"/>
      <c r="I904" s="30" t="str">
        <f t="shared" si="70"/>
        <v/>
      </c>
      <c r="J904" s="38" t="str">
        <f t="shared" si="71"/>
        <v/>
      </c>
      <c r="K904" s="30" t="str">
        <f t="shared" si="72"/>
        <v/>
      </c>
      <c r="L904" s="30" t="str">
        <f t="shared" si="73"/>
        <v/>
      </c>
      <c r="M904" s="30" t="str">
        <f t="shared" si="74"/>
        <v/>
      </c>
    </row>
    <row r="905" spans="1:13" x14ac:dyDescent="0.2">
      <c r="A905" s="35"/>
      <c r="B905" s="21"/>
      <c r="C905" s="18"/>
      <c r="D905" s="20"/>
      <c r="E905" s="20"/>
      <c r="F905" s="21"/>
      <c r="G905" s="21"/>
      <c r="H905" s="18"/>
      <c r="I905" s="30" t="str">
        <f t="shared" si="70"/>
        <v/>
      </c>
      <c r="J905" s="38" t="str">
        <f t="shared" si="71"/>
        <v/>
      </c>
      <c r="K905" s="30" t="str">
        <f t="shared" si="72"/>
        <v/>
      </c>
      <c r="L905" s="30" t="str">
        <f t="shared" si="73"/>
        <v/>
      </c>
      <c r="M905" s="30" t="str">
        <f t="shared" si="74"/>
        <v/>
      </c>
    </row>
    <row r="906" spans="1:13" x14ac:dyDescent="0.2">
      <c r="A906" s="35"/>
      <c r="B906" s="21"/>
      <c r="C906" s="18"/>
      <c r="D906" s="20"/>
      <c r="E906" s="20"/>
      <c r="F906" s="21"/>
      <c r="G906" s="21"/>
      <c r="H906" s="18"/>
      <c r="I906" s="30" t="str">
        <f t="shared" si="70"/>
        <v/>
      </c>
      <c r="J906" s="38" t="str">
        <f t="shared" si="71"/>
        <v/>
      </c>
      <c r="K906" s="30" t="str">
        <f t="shared" si="72"/>
        <v/>
      </c>
      <c r="L906" s="30" t="str">
        <f t="shared" si="73"/>
        <v/>
      </c>
      <c r="M906" s="30" t="str">
        <f t="shared" si="74"/>
        <v/>
      </c>
    </row>
    <row r="907" spans="1:13" x14ac:dyDescent="0.2">
      <c r="A907" s="35"/>
      <c r="B907" s="21"/>
      <c r="C907" s="18"/>
      <c r="D907" s="20"/>
      <c r="E907" s="20"/>
      <c r="F907" s="21"/>
      <c r="G907" s="21"/>
      <c r="H907" s="18"/>
      <c r="I907" s="30" t="str">
        <f t="shared" si="70"/>
        <v/>
      </c>
      <c r="J907" s="38" t="str">
        <f t="shared" si="71"/>
        <v/>
      </c>
      <c r="K907" s="30" t="str">
        <f t="shared" si="72"/>
        <v/>
      </c>
      <c r="L907" s="30" t="str">
        <f t="shared" si="73"/>
        <v/>
      </c>
      <c r="M907" s="30" t="str">
        <f t="shared" si="74"/>
        <v/>
      </c>
    </row>
    <row r="908" spans="1:13" x14ac:dyDescent="0.2">
      <c r="A908" s="35"/>
      <c r="B908" s="21"/>
      <c r="C908" s="18"/>
      <c r="D908" s="20"/>
      <c r="E908" s="20"/>
      <c r="F908" s="21"/>
      <c r="G908" s="21"/>
      <c r="H908" s="18"/>
      <c r="I908" s="30" t="str">
        <f t="shared" si="70"/>
        <v/>
      </c>
      <c r="J908" s="38" t="str">
        <f t="shared" si="71"/>
        <v/>
      </c>
      <c r="K908" s="30" t="str">
        <f t="shared" si="72"/>
        <v/>
      </c>
      <c r="L908" s="30" t="str">
        <f t="shared" si="73"/>
        <v/>
      </c>
      <c r="M908" s="30" t="str">
        <f t="shared" si="74"/>
        <v/>
      </c>
    </row>
    <row r="909" spans="1:13" x14ac:dyDescent="0.2">
      <c r="A909" s="35"/>
      <c r="B909" s="21"/>
      <c r="C909" s="18"/>
      <c r="D909" s="20"/>
      <c r="E909" s="20"/>
      <c r="F909" s="21"/>
      <c r="G909" s="21"/>
      <c r="H909" s="18"/>
      <c r="I909" s="30" t="str">
        <f t="shared" si="70"/>
        <v/>
      </c>
      <c r="J909" s="38" t="str">
        <f t="shared" si="71"/>
        <v/>
      </c>
      <c r="K909" s="30" t="str">
        <f t="shared" si="72"/>
        <v/>
      </c>
      <c r="L909" s="30" t="str">
        <f t="shared" si="73"/>
        <v/>
      </c>
      <c r="M909" s="30" t="str">
        <f t="shared" si="74"/>
        <v/>
      </c>
    </row>
    <row r="910" spans="1:13" x14ac:dyDescent="0.2">
      <c r="A910" s="35"/>
      <c r="B910" s="21"/>
      <c r="C910" s="18"/>
      <c r="D910" s="20"/>
      <c r="E910" s="20"/>
      <c r="F910" s="21"/>
      <c r="G910" s="21"/>
      <c r="H910" s="18"/>
      <c r="I910" s="30" t="str">
        <f t="shared" si="70"/>
        <v/>
      </c>
      <c r="J910" s="38" t="str">
        <f t="shared" si="71"/>
        <v/>
      </c>
      <c r="K910" s="30" t="str">
        <f t="shared" si="72"/>
        <v/>
      </c>
      <c r="L910" s="30" t="str">
        <f t="shared" si="73"/>
        <v/>
      </c>
      <c r="M910" s="30" t="str">
        <f t="shared" si="74"/>
        <v/>
      </c>
    </row>
    <row r="911" spans="1:13" x14ac:dyDescent="0.2">
      <c r="A911" s="35"/>
      <c r="B911" s="21"/>
      <c r="C911" s="18"/>
      <c r="D911" s="20"/>
      <c r="E911" s="20"/>
      <c r="F911" s="21"/>
      <c r="G911" s="21"/>
      <c r="H911" s="18"/>
      <c r="I911" s="30" t="str">
        <f t="shared" si="70"/>
        <v/>
      </c>
      <c r="J911" s="38" t="str">
        <f t="shared" si="71"/>
        <v/>
      </c>
      <c r="K911" s="30" t="str">
        <f t="shared" si="72"/>
        <v/>
      </c>
      <c r="L911" s="30" t="str">
        <f t="shared" si="73"/>
        <v/>
      </c>
      <c r="M911" s="30" t="str">
        <f t="shared" si="74"/>
        <v/>
      </c>
    </row>
    <row r="912" spans="1:13" x14ac:dyDescent="0.2">
      <c r="A912" s="35"/>
      <c r="B912" s="21"/>
      <c r="C912" s="18"/>
      <c r="D912" s="20"/>
      <c r="E912" s="20"/>
      <c r="F912" s="21"/>
      <c r="G912" s="21"/>
      <c r="H912" s="18"/>
      <c r="I912" s="30" t="str">
        <f t="shared" si="70"/>
        <v/>
      </c>
      <c r="J912" s="38" t="str">
        <f t="shared" si="71"/>
        <v/>
      </c>
      <c r="K912" s="30" t="str">
        <f t="shared" si="72"/>
        <v/>
      </c>
      <c r="L912" s="30" t="str">
        <f t="shared" si="73"/>
        <v/>
      </c>
      <c r="M912" s="30" t="str">
        <f t="shared" si="74"/>
        <v/>
      </c>
    </row>
    <row r="913" spans="1:13" x14ac:dyDescent="0.2">
      <c r="A913" s="35"/>
      <c r="B913" s="21"/>
      <c r="C913" s="18"/>
      <c r="D913" s="20"/>
      <c r="E913" s="20"/>
      <c r="F913" s="21"/>
      <c r="G913" s="21"/>
      <c r="H913" s="18"/>
      <c r="I913" s="30" t="str">
        <f t="shared" si="70"/>
        <v/>
      </c>
      <c r="J913" s="38" t="str">
        <f t="shared" si="71"/>
        <v/>
      </c>
      <c r="K913" s="30" t="str">
        <f t="shared" si="72"/>
        <v/>
      </c>
      <c r="L913" s="30" t="str">
        <f t="shared" si="73"/>
        <v/>
      </c>
      <c r="M913" s="30" t="str">
        <f t="shared" si="74"/>
        <v/>
      </c>
    </row>
    <row r="914" spans="1:13" x14ac:dyDescent="0.2">
      <c r="A914" s="35"/>
      <c r="B914" s="21"/>
      <c r="C914" s="18"/>
      <c r="D914" s="20"/>
      <c r="E914" s="20"/>
      <c r="F914" s="21"/>
      <c r="G914" s="21"/>
      <c r="H914" s="18"/>
      <c r="I914" s="30" t="str">
        <f t="shared" si="70"/>
        <v/>
      </c>
      <c r="J914" s="38" t="str">
        <f t="shared" si="71"/>
        <v/>
      </c>
      <c r="K914" s="30" t="str">
        <f t="shared" si="72"/>
        <v/>
      </c>
      <c r="L914" s="30" t="str">
        <f t="shared" si="73"/>
        <v/>
      </c>
      <c r="M914" s="30" t="str">
        <f t="shared" si="74"/>
        <v/>
      </c>
    </row>
    <row r="915" spans="1:13" x14ac:dyDescent="0.2">
      <c r="A915" s="35"/>
      <c r="B915" s="21"/>
      <c r="C915" s="18"/>
      <c r="D915" s="20"/>
      <c r="E915" s="20"/>
      <c r="F915" s="21"/>
      <c r="G915" s="21"/>
      <c r="H915" s="18"/>
      <c r="I915" s="30" t="str">
        <f t="shared" si="70"/>
        <v/>
      </c>
      <c r="J915" s="38" t="str">
        <f t="shared" si="71"/>
        <v/>
      </c>
      <c r="K915" s="30" t="str">
        <f t="shared" si="72"/>
        <v/>
      </c>
      <c r="L915" s="30" t="str">
        <f t="shared" si="73"/>
        <v/>
      </c>
      <c r="M915" s="30" t="str">
        <f t="shared" si="74"/>
        <v/>
      </c>
    </row>
    <row r="916" spans="1:13" x14ac:dyDescent="0.2">
      <c r="A916" s="35"/>
      <c r="B916" s="21"/>
      <c r="C916" s="18"/>
      <c r="D916" s="20"/>
      <c r="E916" s="20"/>
      <c r="F916" s="21"/>
      <c r="G916" s="21"/>
      <c r="H916" s="18"/>
      <c r="I916" s="30" t="str">
        <f t="shared" si="70"/>
        <v/>
      </c>
      <c r="J916" s="38" t="str">
        <f t="shared" si="71"/>
        <v/>
      </c>
      <c r="K916" s="30" t="str">
        <f t="shared" si="72"/>
        <v/>
      </c>
      <c r="L916" s="30" t="str">
        <f t="shared" si="73"/>
        <v/>
      </c>
      <c r="M916" s="30" t="str">
        <f t="shared" si="74"/>
        <v/>
      </c>
    </row>
    <row r="917" spans="1:13" x14ac:dyDescent="0.2">
      <c r="A917" s="35"/>
      <c r="B917" s="21"/>
      <c r="C917" s="18"/>
      <c r="D917" s="20"/>
      <c r="E917" s="20"/>
      <c r="F917" s="21"/>
      <c r="G917" s="21"/>
      <c r="H917" s="18"/>
      <c r="I917" s="30" t="str">
        <f t="shared" si="70"/>
        <v/>
      </c>
      <c r="J917" s="38" t="str">
        <f t="shared" si="71"/>
        <v/>
      </c>
      <c r="K917" s="30" t="str">
        <f t="shared" si="72"/>
        <v/>
      </c>
      <c r="L917" s="30" t="str">
        <f t="shared" si="73"/>
        <v/>
      </c>
      <c r="M917" s="30" t="str">
        <f t="shared" si="74"/>
        <v/>
      </c>
    </row>
    <row r="918" spans="1:13" x14ac:dyDescent="0.2">
      <c r="A918" s="35"/>
      <c r="B918" s="21"/>
      <c r="C918" s="18"/>
      <c r="D918" s="20"/>
      <c r="E918" s="20"/>
      <c r="F918" s="21"/>
      <c r="G918" s="21"/>
      <c r="H918" s="18"/>
      <c r="I918" s="30" t="str">
        <f t="shared" si="70"/>
        <v/>
      </c>
      <c r="J918" s="38" t="str">
        <f t="shared" si="71"/>
        <v/>
      </c>
      <c r="K918" s="30" t="str">
        <f t="shared" si="72"/>
        <v/>
      </c>
      <c r="L918" s="30" t="str">
        <f t="shared" si="73"/>
        <v/>
      </c>
      <c r="M918" s="30" t="str">
        <f t="shared" si="74"/>
        <v/>
      </c>
    </row>
    <row r="919" spans="1:13" x14ac:dyDescent="0.2">
      <c r="A919" s="35"/>
      <c r="B919" s="21"/>
      <c r="C919" s="18"/>
      <c r="D919" s="20"/>
      <c r="E919" s="20"/>
      <c r="F919" s="21"/>
      <c r="G919" s="21"/>
      <c r="H919" s="18"/>
      <c r="I919" s="30" t="str">
        <f t="shared" si="70"/>
        <v/>
      </c>
      <c r="J919" s="38" t="str">
        <f t="shared" si="71"/>
        <v/>
      </c>
      <c r="K919" s="30" t="str">
        <f t="shared" si="72"/>
        <v/>
      </c>
      <c r="L919" s="30" t="str">
        <f t="shared" si="73"/>
        <v/>
      </c>
      <c r="M919" s="30" t="str">
        <f t="shared" si="74"/>
        <v/>
      </c>
    </row>
    <row r="920" spans="1:13" x14ac:dyDescent="0.2">
      <c r="A920" s="35"/>
      <c r="B920" s="21"/>
      <c r="C920" s="18"/>
      <c r="D920" s="20"/>
      <c r="E920" s="20"/>
      <c r="F920" s="21"/>
      <c r="G920" s="21"/>
      <c r="H920" s="18"/>
      <c r="I920" s="30" t="str">
        <f t="shared" si="70"/>
        <v/>
      </c>
      <c r="J920" s="38" t="str">
        <f t="shared" si="71"/>
        <v/>
      </c>
      <c r="K920" s="30" t="str">
        <f t="shared" si="72"/>
        <v/>
      </c>
      <c r="L920" s="30" t="str">
        <f t="shared" si="73"/>
        <v/>
      </c>
      <c r="M920" s="30" t="str">
        <f t="shared" si="74"/>
        <v/>
      </c>
    </row>
    <row r="921" spans="1:13" x14ac:dyDescent="0.2">
      <c r="A921" s="35"/>
      <c r="B921" s="21"/>
      <c r="C921" s="18"/>
      <c r="D921" s="20"/>
      <c r="E921" s="20"/>
      <c r="F921" s="21"/>
      <c r="G921" s="21"/>
      <c r="H921" s="18"/>
      <c r="I921" s="30" t="str">
        <f t="shared" si="70"/>
        <v/>
      </c>
      <c r="J921" s="38" t="str">
        <f t="shared" si="71"/>
        <v/>
      </c>
      <c r="K921" s="30" t="str">
        <f t="shared" si="72"/>
        <v/>
      </c>
      <c r="L921" s="30" t="str">
        <f t="shared" si="73"/>
        <v/>
      </c>
      <c r="M921" s="30" t="str">
        <f t="shared" si="74"/>
        <v/>
      </c>
    </row>
    <row r="922" spans="1:13" x14ac:dyDescent="0.2">
      <c r="A922" s="35"/>
      <c r="B922" s="21"/>
      <c r="C922" s="18"/>
      <c r="D922" s="20"/>
      <c r="E922" s="20"/>
      <c r="F922" s="21"/>
      <c r="G922" s="21"/>
      <c r="H922" s="18"/>
      <c r="I922" s="30" t="str">
        <f t="shared" si="70"/>
        <v/>
      </c>
      <c r="J922" s="38" t="str">
        <f t="shared" si="71"/>
        <v/>
      </c>
      <c r="K922" s="30" t="str">
        <f t="shared" si="72"/>
        <v/>
      </c>
      <c r="L922" s="30" t="str">
        <f t="shared" si="73"/>
        <v/>
      </c>
      <c r="M922" s="30" t="str">
        <f t="shared" si="74"/>
        <v/>
      </c>
    </row>
    <row r="923" spans="1:13" x14ac:dyDescent="0.2">
      <c r="A923" s="35"/>
      <c r="B923" s="21"/>
      <c r="C923" s="18"/>
      <c r="D923" s="20"/>
      <c r="E923" s="20"/>
      <c r="F923" s="21"/>
      <c r="G923" s="21"/>
      <c r="H923" s="18"/>
      <c r="I923" s="30" t="str">
        <f t="shared" si="70"/>
        <v/>
      </c>
      <c r="J923" s="38" t="str">
        <f t="shared" si="71"/>
        <v/>
      </c>
      <c r="K923" s="30" t="str">
        <f t="shared" si="72"/>
        <v/>
      </c>
      <c r="L923" s="30" t="str">
        <f t="shared" si="73"/>
        <v/>
      </c>
      <c r="M923" s="30" t="str">
        <f t="shared" si="74"/>
        <v/>
      </c>
    </row>
    <row r="924" spans="1:13" x14ac:dyDescent="0.2">
      <c r="A924" s="35"/>
      <c r="B924" s="21"/>
      <c r="C924" s="18"/>
      <c r="D924" s="20"/>
      <c r="E924" s="20"/>
      <c r="F924" s="21"/>
      <c r="G924" s="21"/>
      <c r="H924" s="18"/>
      <c r="I924" s="30" t="str">
        <f t="shared" si="70"/>
        <v/>
      </c>
      <c r="J924" s="38" t="str">
        <f t="shared" si="71"/>
        <v/>
      </c>
      <c r="K924" s="30" t="str">
        <f t="shared" si="72"/>
        <v/>
      </c>
      <c r="L924" s="30" t="str">
        <f t="shared" si="73"/>
        <v/>
      </c>
      <c r="M924" s="30" t="str">
        <f t="shared" si="74"/>
        <v/>
      </c>
    </row>
    <row r="925" spans="1:13" x14ac:dyDescent="0.2">
      <c r="A925" s="35"/>
      <c r="B925" s="21"/>
      <c r="C925" s="18"/>
      <c r="D925" s="20"/>
      <c r="E925" s="20"/>
      <c r="F925" s="21"/>
      <c r="G925" s="21"/>
      <c r="H925" s="18"/>
      <c r="I925" s="30" t="str">
        <f t="shared" si="70"/>
        <v/>
      </c>
      <c r="J925" s="38" t="str">
        <f t="shared" si="71"/>
        <v/>
      </c>
      <c r="K925" s="30" t="str">
        <f t="shared" si="72"/>
        <v/>
      </c>
      <c r="L925" s="30" t="str">
        <f t="shared" si="73"/>
        <v/>
      </c>
      <c r="M925" s="30" t="str">
        <f t="shared" si="74"/>
        <v/>
      </c>
    </row>
    <row r="926" spans="1:13" x14ac:dyDescent="0.2">
      <c r="A926" s="35"/>
      <c r="B926" s="21"/>
      <c r="C926" s="18"/>
      <c r="D926" s="20"/>
      <c r="E926" s="20"/>
      <c r="F926" s="21"/>
      <c r="G926" s="21"/>
      <c r="H926" s="18"/>
      <c r="I926" s="30" t="str">
        <f t="shared" si="70"/>
        <v/>
      </c>
      <c r="J926" s="38" t="str">
        <f t="shared" si="71"/>
        <v/>
      </c>
      <c r="K926" s="30" t="str">
        <f t="shared" si="72"/>
        <v/>
      </c>
      <c r="L926" s="30" t="str">
        <f t="shared" si="73"/>
        <v/>
      </c>
      <c r="M926" s="30" t="str">
        <f t="shared" si="74"/>
        <v/>
      </c>
    </row>
    <row r="927" spans="1:13" x14ac:dyDescent="0.2">
      <c r="A927" s="35"/>
      <c r="B927" s="21"/>
      <c r="C927" s="18"/>
      <c r="D927" s="20"/>
      <c r="E927" s="20"/>
      <c r="F927" s="21"/>
      <c r="G927" s="21"/>
      <c r="H927" s="18"/>
      <c r="I927" s="30" t="str">
        <f t="shared" si="70"/>
        <v/>
      </c>
      <c r="J927" s="38" t="str">
        <f t="shared" si="71"/>
        <v/>
      </c>
      <c r="K927" s="30" t="str">
        <f t="shared" si="72"/>
        <v/>
      </c>
      <c r="L927" s="30" t="str">
        <f t="shared" si="73"/>
        <v/>
      </c>
      <c r="M927" s="30" t="str">
        <f t="shared" si="74"/>
        <v/>
      </c>
    </row>
    <row r="928" spans="1:13" x14ac:dyDescent="0.2">
      <c r="A928" s="35"/>
      <c r="B928" s="21"/>
      <c r="C928" s="18"/>
      <c r="D928" s="20"/>
      <c r="E928" s="20"/>
      <c r="F928" s="21"/>
      <c r="G928" s="21"/>
      <c r="H928" s="18"/>
      <c r="I928" s="30" t="str">
        <f t="shared" si="70"/>
        <v/>
      </c>
      <c r="J928" s="38" t="str">
        <f t="shared" si="71"/>
        <v/>
      </c>
      <c r="K928" s="30" t="str">
        <f t="shared" si="72"/>
        <v/>
      </c>
      <c r="L928" s="30" t="str">
        <f t="shared" si="73"/>
        <v/>
      </c>
      <c r="M928" s="30" t="str">
        <f t="shared" si="74"/>
        <v/>
      </c>
    </row>
    <row r="929" spans="1:13" x14ac:dyDescent="0.2">
      <c r="A929" s="35"/>
      <c r="B929" s="21"/>
      <c r="C929" s="18"/>
      <c r="D929" s="20"/>
      <c r="E929" s="20"/>
      <c r="F929" s="21"/>
      <c r="G929" s="21"/>
      <c r="H929" s="18"/>
      <c r="I929" s="30" t="str">
        <f t="shared" si="70"/>
        <v/>
      </c>
      <c r="J929" s="38" t="str">
        <f t="shared" si="71"/>
        <v/>
      </c>
      <c r="K929" s="30" t="str">
        <f t="shared" si="72"/>
        <v/>
      </c>
      <c r="L929" s="30" t="str">
        <f t="shared" si="73"/>
        <v/>
      </c>
      <c r="M929" s="30" t="str">
        <f t="shared" si="74"/>
        <v/>
      </c>
    </row>
    <row r="930" spans="1:13" x14ac:dyDescent="0.2">
      <c r="A930" s="35"/>
      <c r="B930" s="21"/>
      <c r="C930" s="18"/>
      <c r="D930" s="20"/>
      <c r="E930" s="20"/>
      <c r="F930" s="21"/>
      <c r="G930" s="21"/>
      <c r="H930" s="18"/>
      <c r="I930" s="30" t="str">
        <f t="shared" si="70"/>
        <v/>
      </c>
      <c r="J930" s="38" t="str">
        <f t="shared" si="71"/>
        <v/>
      </c>
      <c r="K930" s="30" t="str">
        <f t="shared" si="72"/>
        <v/>
      </c>
      <c r="L930" s="30" t="str">
        <f t="shared" si="73"/>
        <v/>
      </c>
      <c r="M930" s="30" t="str">
        <f t="shared" si="74"/>
        <v/>
      </c>
    </row>
    <row r="931" spans="1:13" x14ac:dyDescent="0.2">
      <c r="A931" s="35"/>
      <c r="B931" s="21"/>
      <c r="C931" s="18"/>
      <c r="D931" s="20"/>
      <c r="E931" s="20"/>
      <c r="F931" s="21"/>
      <c r="G931" s="21"/>
      <c r="H931" s="18"/>
      <c r="I931" s="30" t="str">
        <f t="shared" si="70"/>
        <v/>
      </c>
      <c r="J931" s="38" t="str">
        <f t="shared" si="71"/>
        <v/>
      </c>
      <c r="K931" s="30" t="str">
        <f t="shared" si="72"/>
        <v/>
      </c>
      <c r="L931" s="30" t="str">
        <f t="shared" si="73"/>
        <v/>
      </c>
      <c r="M931" s="30" t="str">
        <f t="shared" si="74"/>
        <v/>
      </c>
    </row>
    <row r="932" spans="1:13" x14ac:dyDescent="0.2">
      <c r="A932" s="35"/>
      <c r="B932" s="21"/>
      <c r="C932" s="18"/>
      <c r="D932" s="20"/>
      <c r="E932" s="20"/>
      <c r="F932" s="21"/>
      <c r="G932" s="21"/>
      <c r="H932" s="18"/>
      <c r="I932" s="30" t="str">
        <f t="shared" si="70"/>
        <v/>
      </c>
      <c r="J932" s="38" t="str">
        <f t="shared" si="71"/>
        <v/>
      </c>
      <c r="K932" s="30" t="str">
        <f t="shared" si="72"/>
        <v/>
      </c>
      <c r="L932" s="30" t="str">
        <f t="shared" si="73"/>
        <v/>
      </c>
      <c r="M932" s="30" t="str">
        <f t="shared" si="74"/>
        <v/>
      </c>
    </row>
    <row r="933" spans="1:13" x14ac:dyDescent="0.2">
      <c r="A933" s="35"/>
      <c r="B933" s="21"/>
      <c r="C933" s="18"/>
      <c r="D933" s="20"/>
      <c r="E933" s="20"/>
      <c r="F933" s="21"/>
      <c r="G933" s="21"/>
      <c r="H933" s="18"/>
      <c r="I933" s="30" t="str">
        <f t="shared" si="70"/>
        <v/>
      </c>
      <c r="J933" s="38" t="str">
        <f t="shared" si="71"/>
        <v/>
      </c>
      <c r="K933" s="30" t="str">
        <f t="shared" si="72"/>
        <v/>
      </c>
      <c r="L933" s="30" t="str">
        <f t="shared" si="73"/>
        <v/>
      </c>
      <c r="M933" s="30" t="str">
        <f t="shared" si="74"/>
        <v/>
      </c>
    </row>
    <row r="934" spans="1:13" x14ac:dyDescent="0.2">
      <c r="A934" s="35"/>
      <c r="B934" s="21"/>
      <c r="C934" s="18"/>
      <c r="D934" s="20"/>
      <c r="E934" s="20"/>
      <c r="F934" s="21"/>
      <c r="G934" s="21"/>
      <c r="H934" s="18"/>
      <c r="I934" s="30" t="str">
        <f t="shared" si="70"/>
        <v/>
      </c>
      <c r="J934" s="38" t="str">
        <f t="shared" si="71"/>
        <v/>
      </c>
      <c r="K934" s="30" t="str">
        <f t="shared" si="72"/>
        <v/>
      </c>
      <c r="L934" s="30" t="str">
        <f t="shared" si="73"/>
        <v/>
      </c>
      <c r="M934" s="30" t="str">
        <f t="shared" si="74"/>
        <v/>
      </c>
    </row>
    <row r="935" spans="1:13" x14ac:dyDescent="0.2">
      <c r="A935" s="35"/>
      <c r="B935" s="21"/>
      <c r="C935" s="18"/>
      <c r="D935" s="20"/>
      <c r="E935" s="20"/>
      <c r="F935" s="21"/>
      <c r="G935" s="21"/>
      <c r="H935" s="18"/>
      <c r="I935" s="30" t="str">
        <f t="shared" si="70"/>
        <v/>
      </c>
      <c r="J935" s="38" t="str">
        <f t="shared" si="71"/>
        <v/>
      </c>
      <c r="K935" s="30" t="str">
        <f t="shared" si="72"/>
        <v/>
      </c>
      <c r="L935" s="30" t="str">
        <f t="shared" si="73"/>
        <v/>
      </c>
      <c r="M935" s="30" t="str">
        <f t="shared" si="74"/>
        <v/>
      </c>
    </row>
    <row r="936" spans="1:13" x14ac:dyDescent="0.2">
      <c r="A936" s="35"/>
      <c r="B936" s="21"/>
      <c r="C936" s="18"/>
      <c r="D936" s="20"/>
      <c r="E936" s="20"/>
      <c r="F936" s="21"/>
      <c r="G936" s="21"/>
      <c r="H936" s="18"/>
      <c r="I936" s="30" t="str">
        <f t="shared" si="70"/>
        <v/>
      </c>
      <c r="J936" s="38" t="str">
        <f t="shared" si="71"/>
        <v/>
      </c>
      <c r="K936" s="30" t="str">
        <f t="shared" si="72"/>
        <v/>
      </c>
      <c r="L936" s="30" t="str">
        <f t="shared" si="73"/>
        <v/>
      </c>
      <c r="M936" s="30" t="str">
        <f t="shared" si="74"/>
        <v/>
      </c>
    </row>
    <row r="937" spans="1:13" x14ac:dyDescent="0.2">
      <c r="A937" s="35"/>
      <c r="B937" s="21"/>
      <c r="C937" s="18"/>
      <c r="D937" s="20"/>
      <c r="E937" s="20"/>
      <c r="F937" s="21"/>
      <c r="G937" s="21"/>
      <c r="H937" s="18"/>
      <c r="I937" s="30" t="str">
        <f t="shared" si="70"/>
        <v/>
      </c>
      <c r="J937" s="38" t="str">
        <f t="shared" si="71"/>
        <v/>
      </c>
      <c r="K937" s="30" t="str">
        <f t="shared" si="72"/>
        <v/>
      </c>
      <c r="L937" s="30" t="str">
        <f t="shared" si="73"/>
        <v/>
      </c>
      <c r="M937" s="30" t="str">
        <f t="shared" si="74"/>
        <v/>
      </c>
    </row>
    <row r="938" spans="1:13" x14ac:dyDescent="0.2">
      <c r="A938" s="35"/>
      <c r="B938" s="21"/>
      <c r="C938" s="18"/>
      <c r="D938" s="20"/>
      <c r="E938" s="20"/>
      <c r="F938" s="21"/>
      <c r="G938" s="21"/>
      <c r="H938" s="18"/>
      <c r="I938" s="30" t="str">
        <f t="shared" si="70"/>
        <v/>
      </c>
      <c r="J938" s="38" t="str">
        <f t="shared" si="71"/>
        <v/>
      </c>
      <c r="K938" s="30" t="str">
        <f t="shared" si="72"/>
        <v/>
      </c>
      <c r="L938" s="30" t="str">
        <f t="shared" si="73"/>
        <v/>
      </c>
      <c r="M938" s="30" t="str">
        <f t="shared" si="74"/>
        <v/>
      </c>
    </row>
    <row r="939" spans="1:13" x14ac:dyDescent="0.2">
      <c r="A939" s="35"/>
      <c r="B939" s="21"/>
      <c r="C939" s="18"/>
      <c r="D939" s="20"/>
      <c r="E939" s="20"/>
      <c r="F939" s="21"/>
      <c r="G939" s="21"/>
      <c r="H939" s="18"/>
      <c r="I939" s="30" t="str">
        <f t="shared" si="70"/>
        <v/>
      </c>
      <c r="J939" s="38" t="str">
        <f t="shared" si="71"/>
        <v/>
      </c>
      <c r="K939" s="30" t="str">
        <f t="shared" si="72"/>
        <v/>
      </c>
      <c r="L939" s="30" t="str">
        <f t="shared" si="73"/>
        <v/>
      </c>
      <c r="M939" s="30" t="str">
        <f t="shared" si="74"/>
        <v/>
      </c>
    </row>
    <row r="940" spans="1:13" x14ac:dyDescent="0.2">
      <c r="A940" s="35"/>
      <c r="B940" s="21"/>
      <c r="C940" s="18"/>
      <c r="D940" s="20"/>
      <c r="E940" s="20"/>
      <c r="F940" s="21"/>
      <c r="G940" s="21"/>
      <c r="H940" s="18"/>
      <c r="I940" s="30" t="str">
        <f t="shared" si="70"/>
        <v/>
      </c>
      <c r="J940" s="38" t="str">
        <f t="shared" si="71"/>
        <v/>
      </c>
      <c r="K940" s="30" t="str">
        <f t="shared" si="72"/>
        <v/>
      </c>
      <c r="L940" s="30" t="str">
        <f t="shared" si="73"/>
        <v/>
      </c>
      <c r="M940" s="30" t="str">
        <f t="shared" si="74"/>
        <v/>
      </c>
    </row>
    <row r="941" spans="1:13" x14ac:dyDescent="0.2">
      <c r="A941" s="35"/>
      <c r="B941" s="21"/>
      <c r="C941" s="18"/>
      <c r="D941" s="20"/>
      <c r="E941" s="20"/>
      <c r="F941" s="21"/>
      <c r="G941" s="21"/>
      <c r="H941" s="18"/>
      <c r="I941" s="30" t="str">
        <f t="shared" si="70"/>
        <v/>
      </c>
      <c r="J941" s="38" t="str">
        <f t="shared" si="71"/>
        <v/>
      </c>
      <c r="K941" s="30" t="str">
        <f t="shared" si="72"/>
        <v/>
      </c>
      <c r="L941" s="30" t="str">
        <f t="shared" si="73"/>
        <v/>
      </c>
      <c r="M941" s="30" t="str">
        <f t="shared" si="74"/>
        <v/>
      </c>
    </row>
    <row r="942" spans="1:13" x14ac:dyDescent="0.2">
      <c r="A942" s="35"/>
      <c r="B942" s="21"/>
      <c r="C942" s="18"/>
      <c r="D942" s="20"/>
      <c r="E942" s="20"/>
      <c r="F942" s="21"/>
      <c r="G942" s="21"/>
      <c r="H942" s="18"/>
      <c r="I942" s="30" t="str">
        <f t="shared" si="70"/>
        <v/>
      </c>
      <c r="J942" s="38" t="str">
        <f t="shared" si="71"/>
        <v/>
      </c>
      <c r="K942" s="30" t="str">
        <f t="shared" si="72"/>
        <v/>
      </c>
      <c r="L942" s="30" t="str">
        <f t="shared" si="73"/>
        <v/>
      </c>
      <c r="M942" s="30" t="str">
        <f t="shared" si="74"/>
        <v/>
      </c>
    </row>
    <row r="943" spans="1:13" x14ac:dyDescent="0.2">
      <c r="A943" s="35"/>
      <c r="B943" s="21"/>
      <c r="C943" s="18"/>
      <c r="D943" s="20"/>
      <c r="E943" s="20"/>
      <c r="F943" s="21"/>
      <c r="G943" s="21"/>
      <c r="H943" s="18"/>
      <c r="I943" s="30" t="str">
        <f t="shared" si="70"/>
        <v/>
      </c>
      <c r="J943" s="38" t="str">
        <f t="shared" si="71"/>
        <v/>
      </c>
      <c r="K943" s="30" t="str">
        <f t="shared" si="72"/>
        <v/>
      </c>
      <c r="L943" s="30" t="str">
        <f t="shared" si="73"/>
        <v/>
      </c>
      <c r="M943" s="30" t="str">
        <f t="shared" si="74"/>
        <v/>
      </c>
    </row>
    <row r="944" spans="1:13" x14ac:dyDescent="0.2">
      <c r="A944" s="35"/>
      <c r="B944" s="21"/>
      <c r="C944" s="18"/>
      <c r="D944" s="20"/>
      <c r="E944" s="20"/>
      <c r="F944" s="21"/>
      <c r="G944" s="21"/>
      <c r="H944" s="18"/>
      <c r="I944" s="30" t="str">
        <f t="shared" si="70"/>
        <v/>
      </c>
      <c r="J944" s="38" t="str">
        <f t="shared" si="71"/>
        <v/>
      </c>
      <c r="K944" s="30" t="str">
        <f t="shared" si="72"/>
        <v/>
      </c>
      <c r="L944" s="30" t="str">
        <f t="shared" si="73"/>
        <v/>
      </c>
      <c r="M944" s="30" t="str">
        <f t="shared" si="74"/>
        <v/>
      </c>
    </row>
    <row r="945" spans="1:13" x14ac:dyDescent="0.2">
      <c r="A945" s="35"/>
      <c r="B945" s="21"/>
      <c r="C945" s="18"/>
      <c r="D945" s="20"/>
      <c r="E945" s="20"/>
      <c r="F945" s="21"/>
      <c r="G945" s="21"/>
      <c r="H945" s="18"/>
      <c r="I945" s="30" t="str">
        <f t="shared" si="70"/>
        <v/>
      </c>
      <c r="J945" s="38" t="str">
        <f t="shared" si="71"/>
        <v/>
      </c>
      <c r="K945" s="30" t="str">
        <f t="shared" si="72"/>
        <v/>
      </c>
      <c r="L945" s="30" t="str">
        <f t="shared" si="73"/>
        <v/>
      </c>
      <c r="M945" s="30" t="str">
        <f t="shared" si="74"/>
        <v/>
      </c>
    </row>
    <row r="946" spans="1:13" x14ac:dyDescent="0.2">
      <c r="A946" s="35"/>
      <c r="B946" s="21"/>
      <c r="C946" s="18"/>
      <c r="D946" s="20"/>
      <c r="E946" s="20"/>
      <c r="F946" s="21"/>
      <c r="G946" s="21"/>
      <c r="H946" s="18"/>
      <c r="I946" s="30" t="str">
        <f t="shared" si="70"/>
        <v/>
      </c>
      <c r="J946" s="38" t="str">
        <f t="shared" si="71"/>
        <v/>
      </c>
      <c r="K946" s="30" t="str">
        <f t="shared" si="72"/>
        <v/>
      </c>
      <c r="L946" s="30" t="str">
        <f t="shared" si="73"/>
        <v/>
      </c>
      <c r="M946" s="30" t="str">
        <f t="shared" si="74"/>
        <v/>
      </c>
    </row>
    <row r="947" spans="1:13" x14ac:dyDescent="0.2">
      <c r="A947" s="35"/>
      <c r="B947" s="21"/>
      <c r="C947" s="18"/>
      <c r="D947" s="20"/>
      <c r="E947" s="20"/>
      <c r="F947" s="21"/>
      <c r="G947" s="21"/>
      <c r="H947" s="18"/>
      <c r="I947" s="30" t="str">
        <f t="shared" si="70"/>
        <v/>
      </c>
      <c r="J947" s="38" t="str">
        <f t="shared" si="71"/>
        <v/>
      </c>
      <c r="K947" s="30" t="str">
        <f t="shared" si="72"/>
        <v/>
      </c>
      <c r="L947" s="30" t="str">
        <f t="shared" si="73"/>
        <v/>
      </c>
      <c r="M947" s="30" t="str">
        <f t="shared" si="74"/>
        <v/>
      </c>
    </row>
    <row r="948" spans="1:13" x14ac:dyDescent="0.2">
      <c r="A948" s="35"/>
      <c r="B948" s="21"/>
      <c r="C948" s="18"/>
      <c r="D948" s="20"/>
      <c r="E948" s="20"/>
      <c r="F948" s="21"/>
      <c r="G948" s="21"/>
      <c r="H948" s="18"/>
      <c r="I948" s="30" t="str">
        <f t="shared" si="70"/>
        <v/>
      </c>
      <c r="J948" s="38" t="str">
        <f t="shared" si="71"/>
        <v/>
      </c>
      <c r="K948" s="30" t="str">
        <f t="shared" si="72"/>
        <v/>
      </c>
      <c r="L948" s="30" t="str">
        <f t="shared" si="73"/>
        <v/>
      </c>
      <c r="M948" s="30" t="str">
        <f t="shared" si="74"/>
        <v/>
      </c>
    </row>
    <row r="949" spans="1:13" x14ac:dyDescent="0.2">
      <c r="A949" s="35"/>
      <c r="B949" s="21"/>
      <c r="C949" s="18"/>
      <c r="D949" s="20"/>
      <c r="E949" s="20"/>
      <c r="F949" s="21"/>
      <c r="G949" s="21"/>
      <c r="H949" s="18"/>
      <c r="I949" s="30" t="str">
        <f t="shared" si="70"/>
        <v/>
      </c>
      <c r="J949" s="38" t="str">
        <f t="shared" si="71"/>
        <v/>
      </c>
      <c r="K949" s="30" t="str">
        <f t="shared" si="72"/>
        <v/>
      </c>
      <c r="L949" s="30" t="str">
        <f t="shared" si="73"/>
        <v/>
      </c>
      <c r="M949" s="30" t="str">
        <f t="shared" si="74"/>
        <v/>
      </c>
    </row>
    <row r="950" spans="1:13" x14ac:dyDescent="0.2">
      <c r="A950" s="35"/>
      <c r="B950" s="21"/>
      <c r="C950" s="18"/>
      <c r="D950" s="20"/>
      <c r="E950" s="20"/>
      <c r="F950" s="21"/>
      <c r="G950" s="21"/>
      <c r="H950" s="18"/>
      <c r="I950" s="30" t="str">
        <f t="shared" si="70"/>
        <v/>
      </c>
      <c r="J950" s="38" t="str">
        <f t="shared" si="71"/>
        <v/>
      </c>
      <c r="K950" s="30" t="str">
        <f t="shared" si="72"/>
        <v/>
      </c>
      <c r="L950" s="30" t="str">
        <f t="shared" si="73"/>
        <v/>
      </c>
      <c r="M950" s="30" t="str">
        <f t="shared" si="74"/>
        <v/>
      </c>
    </row>
    <row r="951" spans="1:13" x14ac:dyDescent="0.2">
      <c r="A951" s="35"/>
      <c r="B951" s="21"/>
      <c r="C951" s="18"/>
      <c r="D951" s="20"/>
      <c r="E951" s="20"/>
      <c r="F951" s="21"/>
      <c r="G951" s="21"/>
      <c r="H951" s="18"/>
      <c r="I951" s="30" t="str">
        <f t="shared" si="70"/>
        <v/>
      </c>
      <c r="J951" s="38" t="str">
        <f t="shared" si="71"/>
        <v/>
      </c>
      <c r="K951" s="30" t="str">
        <f t="shared" si="72"/>
        <v/>
      </c>
      <c r="L951" s="30" t="str">
        <f t="shared" si="73"/>
        <v/>
      </c>
      <c r="M951" s="30" t="str">
        <f t="shared" si="74"/>
        <v/>
      </c>
    </row>
    <row r="952" spans="1:13" x14ac:dyDescent="0.2">
      <c r="A952" s="35"/>
      <c r="B952" s="21"/>
      <c r="C952" s="18"/>
      <c r="D952" s="20"/>
      <c r="E952" s="20"/>
      <c r="F952" s="21"/>
      <c r="G952" s="21"/>
      <c r="H952" s="18"/>
      <c r="I952" s="30" t="str">
        <f t="shared" si="70"/>
        <v/>
      </c>
      <c r="J952" s="38" t="str">
        <f t="shared" si="71"/>
        <v/>
      </c>
      <c r="K952" s="30" t="str">
        <f t="shared" si="72"/>
        <v/>
      </c>
      <c r="L952" s="30" t="str">
        <f t="shared" si="73"/>
        <v/>
      </c>
      <c r="M952" s="30" t="str">
        <f t="shared" si="74"/>
        <v/>
      </c>
    </row>
    <row r="953" spans="1:13" x14ac:dyDescent="0.2">
      <c r="A953" s="35"/>
      <c r="B953" s="21"/>
      <c r="C953" s="18"/>
      <c r="D953" s="20"/>
      <c r="E953" s="20"/>
      <c r="F953" s="21"/>
      <c r="G953" s="21"/>
      <c r="H953" s="18"/>
      <c r="I953" s="30" t="str">
        <f t="shared" si="70"/>
        <v/>
      </c>
      <c r="J953" s="38" t="str">
        <f t="shared" si="71"/>
        <v/>
      </c>
      <c r="K953" s="30" t="str">
        <f t="shared" si="72"/>
        <v/>
      </c>
      <c r="L953" s="30" t="str">
        <f t="shared" si="73"/>
        <v/>
      </c>
      <c r="M953" s="30" t="str">
        <f t="shared" si="74"/>
        <v/>
      </c>
    </row>
    <row r="954" spans="1:13" x14ac:dyDescent="0.2">
      <c r="A954" s="35"/>
      <c r="B954" s="21"/>
      <c r="C954" s="18"/>
      <c r="D954" s="20"/>
      <c r="E954" s="20"/>
      <c r="F954" s="21"/>
      <c r="G954" s="21"/>
      <c r="H954" s="18"/>
      <c r="I954" s="30" t="str">
        <f t="shared" si="70"/>
        <v/>
      </c>
      <c r="J954" s="38" t="str">
        <f t="shared" si="71"/>
        <v/>
      </c>
      <c r="K954" s="30" t="str">
        <f t="shared" si="72"/>
        <v/>
      </c>
      <c r="L954" s="30" t="str">
        <f t="shared" si="73"/>
        <v/>
      </c>
      <c r="M954" s="30" t="str">
        <f t="shared" si="74"/>
        <v/>
      </c>
    </row>
    <row r="955" spans="1:13" x14ac:dyDescent="0.2">
      <c r="A955" s="35"/>
      <c r="B955" s="21"/>
      <c r="C955" s="18"/>
      <c r="D955" s="20"/>
      <c r="E955" s="20"/>
      <c r="F955" s="21"/>
      <c r="G955" s="21"/>
      <c r="H955" s="18"/>
      <c r="I955" s="30" t="str">
        <f t="shared" si="70"/>
        <v/>
      </c>
      <c r="J955" s="38" t="str">
        <f t="shared" si="71"/>
        <v/>
      </c>
      <c r="K955" s="30" t="str">
        <f t="shared" si="72"/>
        <v/>
      </c>
      <c r="L955" s="30" t="str">
        <f t="shared" si="73"/>
        <v/>
      </c>
      <c r="M955" s="30" t="str">
        <f t="shared" si="74"/>
        <v/>
      </c>
    </row>
    <row r="956" spans="1:13" x14ac:dyDescent="0.2">
      <c r="A956" s="35"/>
      <c r="B956" s="21"/>
      <c r="C956" s="18"/>
      <c r="D956" s="20"/>
      <c r="E956" s="20"/>
      <c r="F956" s="21"/>
      <c r="G956" s="21"/>
      <c r="H956" s="18"/>
      <c r="I956" s="30" t="str">
        <f t="shared" si="70"/>
        <v/>
      </c>
      <c r="J956" s="38" t="str">
        <f t="shared" si="71"/>
        <v/>
      </c>
      <c r="K956" s="30" t="str">
        <f t="shared" si="72"/>
        <v/>
      </c>
      <c r="L956" s="30" t="str">
        <f t="shared" si="73"/>
        <v/>
      </c>
      <c r="M956" s="30" t="str">
        <f t="shared" si="74"/>
        <v/>
      </c>
    </row>
    <row r="957" spans="1:13" x14ac:dyDescent="0.2">
      <c r="A957" s="35"/>
      <c r="B957" s="21"/>
      <c r="C957" s="18"/>
      <c r="D957" s="20"/>
      <c r="E957" s="20"/>
      <c r="F957" s="21"/>
      <c r="G957" s="21"/>
      <c r="H957" s="18"/>
      <c r="I957" s="30" t="str">
        <f t="shared" si="70"/>
        <v/>
      </c>
      <c r="J957" s="38" t="str">
        <f t="shared" si="71"/>
        <v/>
      </c>
      <c r="K957" s="30" t="str">
        <f t="shared" si="72"/>
        <v/>
      </c>
      <c r="L957" s="30" t="str">
        <f t="shared" si="73"/>
        <v/>
      </c>
      <c r="M957" s="30" t="str">
        <f t="shared" si="74"/>
        <v/>
      </c>
    </row>
    <row r="958" spans="1:13" x14ac:dyDescent="0.2">
      <c r="A958" s="35"/>
      <c r="B958" s="21"/>
      <c r="C958" s="18"/>
      <c r="D958" s="20"/>
      <c r="E958" s="20"/>
      <c r="F958" s="21"/>
      <c r="G958" s="21"/>
      <c r="H958" s="18"/>
      <c r="I958" s="30" t="str">
        <f t="shared" si="70"/>
        <v/>
      </c>
      <c r="J958" s="38" t="str">
        <f t="shared" si="71"/>
        <v/>
      </c>
      <c r="K958" s="30" t="str">
        <f t="shared" si="72"/>
        <v/>
      </c>
      <c r="L958" s="30" t="str">
        <f t="shared" si="73"/>
        <v/>
      </c>
      <c r="M958" s="30" t="str">
        <f t="shared" si="74"/>
        <v/>
      </c>
    </row>
    <row r="959" spans="1:13" x14ac:dyDescent="0.2">
      <c r="A959" s="35"/>
      <c r="B959" s="21"/>
      <c r="C959" s="18"/>
      <c r="D959" s="20"/>
      <c r="E959" s="20"/>
      <c r="F959" s="21"/>
      <c r="G959" s="21"/>
      <c r="H959" s="18"/>
      <c r="I959" s="30" t="str">
        <f t="shared" si="70"/>
        <v/>
      </c>
      <c r="J959" s="38" t="str">
        <f t="shared" si="71"/>
        <v/>
      </c>
      <c r="K959" s="30" t="str">
        <f t="shared" si="72"/>
        <v/>
      </c>
      <c r="L959" s="30" t="str">
        <f t="shared" si="73"/>
        <v/>
      </c>
      <c r="M959" s="30" t="str">
        <f t="shared" si="74"/>
        <v/>
      </c>
    </row>
    <row r="960" spans="1:13" x14ac:dyDescent="0.2">
      <c r="A960" s="35"/>
      <c r="B960" s="21"/>
      <c r="C960" s="18"/>
      <c r="D960" s="20"/>
      <c r="E960" s="20"/>
      <c r="F960" s="21"/>
      <c r="G960" s="21"/>
      <c r="H960" s="18"/>
      <c r="I960" s="30" t="str">
        <f t="shared" si="70"/>
        <v/>
      </c>
      <c r="J960" s="38" t="str">
        <f t="shared" si="71"/>
        <v/>
      </c>
      <c r="K960" s="30" t="str">
        <f t="shared" si="72"/>
        <v/>
      </c>
      <c r="L960" s="30" t="str">
        <f t="shared" si="73"/>
        <v/>
      </c>
      <c r="M960" s="30" t="str">
        <f t="shared" si="74"/>
        <v/>
      </c>
    </row>
    <row r="961" spans="1:13" x14ac:dyDescent="0.2">
      <c r="A961" s="35"/>
      <c r="B961" s="21"/>
      <c r="C961" s="18"/>
      <c r="D961" s="20"/>
      <c r="E961" s="20"/>
      <c r="F961" s="21"/>
      <c r="G961" s="21"/>
      <c r="H961" s="18"/>
      <c r="I961" s="30" t="str">
        <f t="shared" si="70"/>
        <v/>
      </c>
      <c r="J961" s="38" t="str">
        <f t="shared" si="71"/>
        <v/>
      </c>
      <c r="K961" s="30" t="str">
        <f t="shared" si="72"/>
        <v/>
      </c>
      <c r="L961" s="30" t="str">
        <f t="shared" si="73"/>
        <v/>
      </c>
      <c r="M961" s="30" t="str">
        <f t="shared" si="74"/>
        <v/>
      </c>
    </row>
    <row r="962" spans="1:13" x14ac:dyDescent="0.2">
      <c r="A962" s="35"/>
      <c r="B962" s="21"/>
      <c r="C962" s="18"/>
      <c r="D962" s="20"/>
      <c r="E962" s="20"/>
      <c r="F962" s="21"/>
      <c r="G962" s="21"/>
      <c r="H962" s="18"/>
      <c r="I962" s="30" t="str">
        <f t="shared" si="70"/>
        <v/>
      </c>
      <c r="J962" s="38" t="str">
        <f t="shared" si="71"/>
        <v/>
      </c>
      <c r="K962" s="30" t="str">
        <f t="shared" si="72"/>
        <v/>
      </c>
      <c r="L962" s="30" t="str">
        <f t="shared" si="73"/>
        <v/>
      </c>
      <c r="M962" s="30" t="str">
        <f t="shared" si="74"/>
        <v/>
      </c>
    </row>
    <row r="963" spans="1:13" x14ac:dyDescent="0.2">
      <c r="A963" s="35"/>
      <c r="B963" s="21"/>
      <c r="C963" s="18"/>
      <c r="D963" s="20"/>
      <c r="E963" s="20"/>
      <c r="F963" s="21"/>
      <c r="G963" s="21"/>
      <c r="H963" s="18"/>
      <c r="I963" s="30" t="str">
        <f t="shared" si="70"/>
        <v/>
      </c>
      <c r="J963" s="38" t="str">
        <f t="shared" si="71"/>
        <v/>
      </c>
      <c r="K963" s="30" t="str">
        <f t="shared" si="72"/>
        <v/>
      </c>
      <c r="L963" s="30" t="str">
        <f t="shared" si="73"/>
        <v/>
      </c>
      <c r="M963" s="30" t="str">
        <f t="shared" si="74"/>
        <v/>
      </c>
    </row>
    <row r="964" spans="1:13" x14ac:dyDescent="0.2">
      <c r="A964" s="35"/>
      <c r="B964" s="21"/>
      <c r="C964" s="18"/>
      <c r="D964" s="20"/>
      <c r="E964" s="20"/>
      <c r="F964" s="21"/>
      <c r="G964" s="21"/>
      <c r="H964" s="18"/>
      <c r="I964" s="30" t="str">
        <f t="shared" si="70"/>
        <v/>
      </c>
      <c r="J964" s="38" t="str">
        <f t="shared" si="71"/>
        <v/>
      </c>
      <c r="K964" s="30" t="str">
        <f t="shared" si="72"/>
        <v/>
      </c>
      <c r="L964" s="30" t="str">
        <f t="shared" si="73"/>
        <v/>
      </c>
      <c r="M964" s="30" t="str">
        <f t="shared" si="74"/>
        <v/>
      </c>
    </row>
    <row r="965" spans="1:13" x14ac:dyDescent="0.2">
      <c r="A965" s="35"/>
      <c r="B965" s="21"/>
      <c r="C965" s="18"/>
      <c r="D965" s="20"/>
      <c r="E965" s="20"/>
      <c r="F965" s="21"/>
      <c r="G965" s="21"/>
      <c r="H965" s="18"/>
      <c r="I965" s="30" t="str">
        <f t="shared" si="70"/>
        <v/>
      </c>
      <c r="J965" s="38" t="str">
        <f t="shared" si="71"/>
        <v/>
      </c>
      <c r="K965" s="30" t="str">
        <f t="shared" si="72"/>
        <v/>
      </c>
      <c r="L965" s="30" t="str">
        <f t="shared" si="73"/>
        <v/>
      </c>
      <c r="M965" s="30" t="str">
        <f t="shared" si="74"/>
        <v/>
      </c>
    </row>
    <row r="966" spans="1:13" x14ac:dyDescent="0.2">
      <c r="A966" s="35"/>
      <c r="B966" s="21"/>
      <c r="C966" s="18"/>
      <c r="D966" s="20"/>
      <c r="E966" s="20"/>
      <c r="F966" s="21"/>
      <c r="G966" s="21"/>
      <c r="H966" s="18"/>
      <c r="I966" s="30" t="str">
        <f t="shared" ref="I966:I1005" si="75">IF(OR(D966="",E966=""),"",ROUND(MOD(E966-D966,1)*1440,0))</f>
        <v/>
      </c>
      <c r="J966" s="38" t="str">
        <f t="shared" ref="J966:J1005" si="76">IF(F966="","",IFERROR(INDEX(LYDO_TEN,MATCH(F966,DS_LYDO,0)),"?"))</f>
        <v/>
      </c>
      <c r="K966" s="30" t="str">
        <f t="shared" ref="K966:K1005" si="77">IF(F966="","",IFERROR(INDEX(LYDO_LOAI,MATCH(F966,DS_LYDO,0)),"?"))</f>
        <v/>
      </c>
      <c r="L966" s="30" t="str">
        <f t="shared" ref="L966:L1005" si="78">IF(F966="","",IFERROR(INDEX(LYDO_BP,MATCH(F966,DS_LYDO,0)),"?"))</f>
        <v/>
      </c>
      <c r="M966" s="30" t="str">
        <f t="shared" ref="M966:M1005" si="79">IF(I966="","",IF(MOD(I966,5)=0,1,0))</f>
        <v/>
      </c>
    </row>
    <row r="967" spans="1:13" x14ac:dyDescent="0.2">
      <c r="A967" s="35"/>
      <c r="B967" s="21"/>
      <c r="C967" s="18"/>
      <c r="D967" s="20"/>
      <c r="E967" s="20"/>
      <c r="F967" s="21"/>
      <c r="G967" s="21"/>
      <c r="H967" s="18"/>
      <c r="I967" s="30" t="str">
        <f t="shared" si="75"/>
        <v/>
      </c>
      <c r="J967" s="38" t="str">
        <f t="shared" si="76"/>
        <v/>
      </c>
      <c r="K967" s="30" t="str">
        <f t="shared" si="77"/>
        <v/>
      </c>
      <c r="L967" s="30" t="str">
        <f t="shared" si="78"/>
        <v/>
      </c>
      <c r="M967" s="30" t="str">
        <f t="shared" si="79"/>
        <v/>
      </c>
    </row>
    <row r="968" spans="1:13" x14ac:dyDescent="0.2">
      <c r="A968" s="35"/>
      <c r="B968" s="21"/>
      <c r="C968" s="18"/>
      <c r="D968" s="20"/>
      <c r="E968" s="20"/>
      <c r="F968" s="21"/>
      <c r="G968" s="21"/>
      <c r="H968" s="18"/>
      <c r="I968" s="30" t="str">
        <f t="shared" si="75"/>
        <v/>
      </c>
      <c r="J968" s="38" t="str">
        <f t="shared" si="76"/>
        <v/>
      </c>
      <c r="K968" s="30" t="str">
        <f t="shared" si="77"/>
        <v/>
      </c>
      <c r="L968" s="30" t="str">
        <f t="shared" si="78"/>
        <v/>
      </c>
      <c r="M968" s="30" t="str">
        <f t="shared" si="79"/>
        <v/>
      </c>
    </row>
    <row r="969" spans="1:13" x14ac:dyDescent="0.2">
      <c r="A969" s="35"/>
      <c r="B969" s="21"/>
      <c r="C969" s="18"/>
      <c r="D969" s="20"/>
      <c r="E969" s="20"/>
      <c r="F969" s="21"/>
      <c r="G969" s="21"/>
      <c r="H969" s="18"/>
      <c r="I969" s="30" t="str">
        <f t="shared" si="75"/>
        <v/>
      </c>
      <c r="J969" s="38" t="str">
        <f t="shared" si="76"/>
        <v/>
      </c>
      <c r="K969" s="30" t="str">
        <f t="shared" si="77"/>
        <v/>
      </c>
      <c r="L969" s="30" t="str">
        <f t="shared" si="78"/>
        <v/>
      </c>
      <c r="M969" s="30" t="str">
        <f t="shared" si="79"/>
        <v/>
      </c>
    </row>
    <row r="970" spans="1:13" x14ac:dyDescent="0.2">
      <c r="A970" s="35"/>
      <c r="B970" s="21"/>
      <c r="C970" s="18"/>
      <c r="D970" s="20"/>
      <c r="E970" s="20"/>
      <c r="F970" s="21"/>
      <c r="G970" s="21"/>
      <c r="H970" s="18"/>
      <c r="I970" s="30" t="str">
        <f t="shared" si="75"/>
        <v/>
      </c>
      <c r="J970" s="38" t="str">
        <f t="shared" si="76"/>
        <v/>
      </c>
      <c r="K970" s="30" t="str">
        <f t="shared" si="77"/>
        <v/>
      </c>
      <c r="L970" s="30" t="str">
        <f t="shared" si="78"/>
        <v/>
      </c>
      <c r="M970" s="30" t="str">
        <f t="shared" si="79"/>
        <v/>
      </c>
    </row>
    <row r="971" spans="1:13" x14ac:dyDescent="0.2">
      <c r="A971" s="35"/>
      <c r="B971" s="21"/>
      <c r="C971" s="18"/>
      <c r="D971" s="20"/>
      <c r="E971" s="20"/>
      <c r="F971" s="21"/>
      <c r="G971" s="21"/>
      <c r="H971" s="18"/>
      <c r="I971" s="30" t="str">
        <f t="shared" si="75"/>
        <v/>
      </c>
      <c r="J971" s="38" t="str">
        <f t="shared" si="76"/>
        <v/>
      </c>
      <c r="K971" s="30" t="str">
        <f t="shared" si="77"/>
        <v/>
      </c>
      <c r="L971" s="30" t="str">
        <f t="shared" si="78"/>
        <v/>
      </c>
      <c r="M971" s="30" t="str">
        <f t="shared" si="79"/>
        <v/>
      </c>
    </row>
    <row r="972" spans="1:13" x14ac:dyDescent="0.2">
      <c r="A972" s="35"/>
      <c r="B972" s="21"/>
      <c r="C972" s="18"/>
      <c r="D972" s="20"/>
      <c r="E972" s="20"/>
      <c r="F972" s="21"/>
      <c r="G972" s="21"/>
      <c r="H972" s="18"/>
      <c r="I972" s="30" t="str">
        <f t="shared" si="75"/>
        <v/>
      </c>
      <c r="J972" s="38" t="str">
        <f t="shared" si="76"/>
        <v/>
      </c>
      <c r="K972" s="30" t="str">
        <f t="shared" si="77"/>
        <v/>
      </c>
      <c r="L972" s="30" t="str">
        <f t="shared" si="78"/>
        <v/>
      </c>
      <c r="M972" s="30" t="str">
        <f t="shared" si="79"/>
        <v/>
      </c>
    </row>
    <row r="973" spans="1:13" x14ac:dyDescent="0.2">
      <c r="A973" s="35"/>
      <c r="B973" s="21"/>
      <c r="C973" s="18"/>
      <c r="D973" s="20"/>
      <c r="E973" s="20"/>
      <c r="F973" s="21"/>
      <c r="G973" s="21"/>
      <c r="H973" s="18"/>
      <c r="I973" s="30" t="str">
        <f t="shared" si="75"/>
        <v/>
      </c>
      <c r="J973" s="38" t="str">
        <f t="shared" si="76"/>
        <v/>
      </c>
      <c r="K973" s="30" t="str">
        <f t="shared" si="77"/>
        <v/>
      </c>
      <c r="L973" s="30" t="str">
        <f t="shared" si="78"/>
        <v/>
      </c>
      <c r="M973" s="30" t="str">
        <f t="shared" si="79"/>
        <v/>
      </c>
    </row>
    <row r="974" spans="1:13" x14ac:dyDescent="0.2">
      <c r="A974" s="35"/>
      <c r="B974" s="21"/>
      <c r="C974" s="18"/>
      <c r="D974" s="20"/>
      <c r="E974" s="20"/>
      <c r="F974" s="21"/>
      <c r="G974" s="21"/>
      <c r="H974" s="18"/>
      <c r="I974" s="30" t="str">
        <f t="shared" si="75"/>
        <v/>
      </c>
      <c r="J974" s="38" t="str">
        <f t="shared" si="76"/>
        <v/>
      </c>
      <c r="K974" s="30" t="str">
        <f t="shared" si="77"/>
        <v/>
      </c>
      <c r="L974" s="30" t="str">
        <f t="shared" si="78"/>
        <v/>
      </c>
      <c r="M974" s="30" t="str">
        <f t="shared" si="79"/>
        <v/>
      </c>
    </row>
    <row r="975" spans="1:13" x14ac:dyDescent="0.2">
      <c r="A975" s="35"/>
      <c r="B975" s="21"/>
      <c r="C975" s="18"/>
      <c r="D975" s="20"/>
      <c r="E975" s="20"/>
      <c r="F975" s="21"/>
      <c r="G975" s="21"/>
      <c r="H975" s="18"/>
      <c r="I975" s="30" t="str">
        <f t="shared" si="75"/>
        <v/>
      </c>
      <c r="J975" s="38" t="str">
        <f t="shared" si="76"/>
        <v/>
      </c>
      <c r="K975" s="30" t="str">
        <f t="shared" si="77"/>
        <v/>
      </c>
      <c r="L975" s="30" t="str">
        <f t="shared" si="78"/>
        <v/>
      </c>
      <c r="M975" s="30" t="str">
        <f t="shared" si="79"/>
        <v/>
      </c>
    </row>
    <row r="976" spans="1:13" x14ac:dyDescent="0.2">
      <c r="A976" s="35"/>
      <c r="B976" s="21"/>
      <c r="C976" s="18"/>
      <c r="D976" s="20"/>
      <c r="E976" s="20"/>
      <c r="F976" s="21"/>
      <c r="G976" s="21"/>
      <c r="H976" s="18"/>
      <c r="I976" s="30" t="str">
        <f t="shared" si="75"/>
        <v/>
      </c>
      <c r="J976" s="38" t="str">
        <f t="shared" si="76"/>
        <v/>
      </c>
      <c r="K976" s="30" t="str">
        <f t="shared" si="77"/>
        <v/>
      </c>
      <c r="L976" s="30" t="str">
        <f t="shared" si="78"/>
        <v/>
      </c>
      <c r="M976" s="30" t="str">
        <f t="shared" si="79"/>
        <v/>
      </c>
    </row>
    <row r="977" spans="1:13" x14ac:dyDescent="0.2">
      <c r="A977" s="35"/>
      <c r="B977" s="21"/>
      <c r="C977" s="18"/>
      <c r="D977" s="20"/>
      <c r="E977" s="20"/>
      <c r="F977" s="21"/>
      <c r="G977" s="21"/>
      <c r="H977" s="18"/>
      <c r="I977" s="30" t="str">
        <f t="shared" si="75"/>
        <v/>
      </c>
      <c r="J977" s="38" t="str">
        <f t="shared" si="76"/>
        <v/>
      </c>
      <c r="K977" s="30" t="str">
        <f t="shared" si="77"/>
        <v/>
      </c>
      <c r="L977" s="30" t="str">
        <f t="shared" si="78"/>
        <v/>
      </c>
      <c r="M977" s="30" t="str">
        <f t="shared" si="79"/>
        <v/>
      </c>
    </row>
    <row r="978" spans="1:13" x14ac:dyDescent="0.2">
      <c r="A978" s="35"/>
      <c r="B978" s="21"/>
      <c r="C978" s="18"/>
      <c r="D978" s="20"/>
      <c r="E978" s="20"/>
      <c r="F978" s="21"/>
      <c r="G978" s="21"/>
      <c r="H978" s="18"/>
      <c r="I978" s="30" t="str">
        <f t="shared" si="75"/>
        <v/>
      </c>
      <c r="J978" s="38" t="str">
        <f t="shared" si="76"/>
        <v/>
      </c>
      <c r="K978" s="30" t="str">
        <f t="shared" si="77"/>
        <v/>
      </c>
      <c r="L978" s="30" t="str">
        <f t="shared" si="78"/>
        <v/>
      </c>
      <c r="M978" s="30" t="str">
        <f t="shared" si="79"/>
        <v/>
      </c>
    </row>
    <row r="979" spans="1:13" x14ac:dyDescent="0.2">
      <c r="A979" s="35"/>
      <c r="B979" s="21"/>
      <c r="C979" s="18"/>
      <c r="D979" s="20"/>
      <c r="E979" s="20"/>
      <c r="F979" s="21"/>
      <c r="G979" s="21"/>
      <c r="H979" s="18"/>
      <c r="I979" s="30" t="str">
        <f t="shared" si="75"/>
        <v/>
      </c>
      <c r="J979" s="38" t="str">
        <f t="shared" si="76"/>
        <v/>
      </c>
      <c r="K979" s="30" t="str">
        <f t="shared" si="77"/>
        <v/>
      </c>
      <c r="L979" s="30" t="str">
        <f t="shared" si="78"/>
        <v/>
      </c>
      <c r="M979" s="30" t="str">
        <f t="shared" si="79"/>
        <v/>
      </c>
    </row>
    <row r="980" spans="1:13" x14ac:dyDescent="0.2">
      <c r="A980" s="35"/>
      <c r="B980" s="21"/>
      <c r="C980" s="18"/>
      <c r="D980" s="20"/>
      <c r="E980" s="20"/>
      <c r="F980" s="21"/>
      <c r="G980" s="21"/>
      <c r="H980" s="18"/>
      <c r="I980" s="30" t="str">
        <f t="shared" si="75"/>
        <v/>
      </c>
      <c r="J980" s="38" t="str">
        <f t="shared" si="76"/>
        <v/>
      </c>
      <c r="K980" s="30" t="str">
        <f t="shared" si="77"/>
        <v/>
      </c>
      <c r="L980" s="30" t="str">
        <f t="shared" si="78"/>
        <v/>
      </c>
      <c r="M980" s="30" t="str">
        <f t="shared" si="79"/>
        <v/>
      </c>
    </row>
    <row r="981" spans="1:13" x14ac:dyDescent="0.2">
      <c r="A981" s="35"/>
      <c r="B981" s="21"/>
      <c r="C981" s="18"/>
      <c r="D981" s="20"/>
      <c r="E981" s="20"/>
      <c r="F981" s="21"/>
      <c r="G981" s="21"/>
      <c r="H981" s="18"/>
      <c r="I981" s="30" t="str">
        <f t="shared" si="75"/>
        <v/>
      </c>
      <c r="J981" s="38" t="str">
        <f t="shared" si="76"/>
        <v/>
      </c>
      <c r="K981" s="30" t="str">
        <f t="shared" si="77"/>
        <v/>
      </c>
      <c r="L981" s="30" t="str">
        <f t="shared" si="78"/>
        <v/>
      </c>
      <c r="M981" s="30" t="str">
        <f t="shared" si="79"/>
        <v/>
      </c>
    </row>
    <row r="982" spans="1:13" x14ac:dyDescent="0.2">
      <c r="A982" s="35"/>
      <c r="B982" s="21"/>
      <c r="C982" s="18"/>
      <c r="D982" s="20"/>
      <c r="E982" s="20"/>
      <c r="F982" s="21"/>
      <c r="G982" s="21"/>
      <c r="H982" s="18"/>
      <c r="I982" s="30" t="str">
        <f t="shared" si="75"/>
        <v/>
      </c>
      <c r="J982" s="38" t="str">
        <f t="shared" si="76"/>
        <v/>
      </c>
      <c r="K982" s="30" t="str">
        <f t="shared" si="77"/>
        <v/>
      </c>
      <c r="L982" s="30" t="str">
        <f t="shared" si="78"/>
        <v/>
      </c>
      <c r="M982" s="30" t="str">
        <f t="shared" si="79"/>
        <v/>
      </c>
    </row>
    <row r="983" spans="1:13" x14ac:dyDescent="0.2">
      <c r="A983" s="35"/>
      <c r="B983" s="21"/>
      <c r="C983" s="18"/>
      <c r="D983" s="20"/>
      <c r="E983" s="20"/>
      <c r="F983" s="21"/>
      <c r="G983" s="21"/>
      <c r="H983" s="18"/>
      <c r="I983" s="30" t="str">
        <f t="shared" si="75"/>
        <v/>
      </c>
      <c r="J983" s="38" t="str">
        <f t="shared" si="76"/>
        <v/>
      </c>
      <c r="K983" s="30" t="str">
        <f t="shared" si="77"/>
        <v/>
      </c>
      <c r="L983" s="30" t="str">
        <f t="shared" si="78"/>
        <v/>
      </c>
      <c r="M983" s="30" t="str">
        <f t="shared" si="79"/>
        <v/>
      </c>
    </row>
    <row r="984" spans="1:13" x14ac:dyDescent="0.2">
      <c r="A984" s="35"/>
      <c r="B984" s="21"/>
      <c r="C984" s="18"/>
      <c r="D984" s="20"/>
      <c r="E984" s="20"/>
      <c r="F984" s="21"/>
      <c r="G984" s="21"/>
      <c r="H984" s="18"/>
      <c r="I984" s="30" t="str">
        <f t="shared" si="75"/>
        <v/>
      </c>
      <c r="J984" s="38" t="str">
        <f t="shared" si="76"/>
        <v/>
      </c>
      <c r="K984" s="30" t="str">
        <f t="shared" si="77"/>
        <v/>
      </c>
      <c r="L984" s="30" t="str">
        <f t="shared" si="78"/>
        <v/>
      </c>
      <c r="M984" s="30" t="str">
        <f t="shared" si="79"/>
        <v/>
      </c>
    </row>
    <row r="985" spans="1:13" x14ac:dyDescent="0.2">
      <c r="A985" s="35"/>
      <c r="B985" s="21"/>
      <c r="C985" s="18"/>
      <c r="D985" s="20"/>
      <c r="E985" s="20"/>
      <c r="F985" s="21"/>
      <c r="G985" s="21"/>
      <c r="H985" s="18"/>
      <c r="I985" s="30" t="str">
        <f t="shared" si="75"/>
        <v/>
      </c>
      <c r="J985" s="38" t="str">
        <f t="shared" si="76"/>
        <v/>
      </c>
      <c r="K985" s="30" t="str">
        <f t="shared" si="77"/>
        <v/>
      </c>
      <c r="L985" s="30" t="str">
        <f t="shared" si="78"/>
        <v/>
      </c>
      <c r="M985" s="30" t="str">
        <f t="shared" si="79"/>
        <v/>
      </c>
    </row>
    <row r="986" spans="1:13" x14ac:dyDescent="0.2">
      <c r="A986" s="35"/>
      <c r="B986" s="21"/>
      <c r="C986" s="18"/>
      <c r="D986" s="20"/>
      <c r="E986" s="20"/>
      <c r="F986" s="21"/>
      <c r="G986" s="21"/>
      <c r="H986" s="18"/>
      <c r="I986" s="30" t="str">
        <f t="shared" si="75"/>
        <v/>
      </c>
      <c r="J986" s="38" t="str">
        <f t="shared" si="76"/>
        <v/>
      </c>
      <c r="K986" s="30" t="str">
        <f t="shared" si="77"/>
        <v/>
      </c>
      <c r="L986" s="30" t="str">
        <f t="shared" si="78"/>
        <v/>
      </c>
      <c r="M986" s="30" t="str">
        <f t="shared" si="79"/>
        <v/>
      </c>
    </row>
    <row r="987" spans="1:13" x14ac:dyDescent="0.2">
      <c r="A987" s="35"/>
      <c r="B987" s="21"/>
      <c r="C987" s="18"/>
      <c r="D987" s="20"/>
      <c r="E987" s="20"/>
      <c r="F987" s="21"/>
      <c r="G987" s="21"/>
      <c r="H987" s="18"/>
      <c r="I987" s="30" t="str">
        <f t="shared" si="75"/>
        <v/>
      </c>
      <c r="J987" s="38" t="str">
        <f t="shared" si="76"/>
        <v/>
      </c>
      <c r="K987" s="30" t="str">
        <f t="shared" si="77"/>
        <v/>
      </c>
      <c r="L987" s="30" t="str">
        <f t="shared" si="78"/>
        <v/>
      </c>
      <c r="M987" s="30" t="str">
        <f t="shared" si="79"/>
        <v/>
      </c>
    </row>
    <row r="988" spans="1:13" x14ac:dyDescent="0.2">
      <c r="A988" s="35"/>
      <c r="B988" s="21"/>
      <c r="C988" s="18"/>
      <c r="D988" s="20"/>
      <c r="E988" s="20"/>
      <c r="F988" s="21"/>
      <c r="G988" s="21"/>
      <c r="H988" s="18"/>
      <c r="I988" s="30" t="str">
        <f t="shared" si="75"/>
        <v/>
      </c>
      <c r="J988" s="38" t="str">
        <f t="shared" si="76"/>
        <v/>
      </c>
      <c r="K988" s="30" t="str">
        <f t="shared" si="77"/>
        <v/>
      </c>
      <c r="L988" s="30" t="str">
        <f t="shared" si="78"/>
        <v/>
      </c>
      <c r="M988" s="30" t="str">
        <f t="shared" si="79"/>
        <v/>
      </c>
    </row>
    <row r="989" spans="1:13" x14ac:dyDescent="0.2">
      <c r="A989" s="35"/>
      <c r="B989" s="21"/>
      <c r="C989" s="18"/>
      <c r="D989" s="20"/>
      <c r="E989" s="20"/>
      <c r="F989" s="21"/>
      <c r="G989" s="21"/>
      <c r="H989" s="18"/>
      <c r="I989" s="30" t="str">
        <f t="shared" si="75"/>
        <v/>
      </c>
      <c r="J989" s="38" t="str">
        <f t="shared" si="76"/>
        <v/>
      </c>
      <c r="K989" s="30" t="str">
        <f t="shared" si="77"/>
        <v/>
      </c>
      <c r="L989" s="30" t="str">
        <f t="shared" si="78"/>
        <v/>
      </c>
      <c r="M989" s="30" t="str">
        <f t="shared" si="79"/>
        <v/>
      </c>
    </row>
    <row r="990" spans="1:13" x14ac:dyDescent="0.2">
      <c r="A990" s="35"/>
      <c r="B990" s="21"/>
      <c r="C990" s="18"/>
      <c r="D990" s="20"/>
      <c r="E990" s="20"/>
      <c r="F990" s="21"/>
      <c r="G990" s="21"/>
      <c r="H990" s="18"/>
      <c r="I990" s="30" t="str">
        <f t="shared" si="75"/>
        <v/>
      </c>
      <c r="J990" s="38" t="str">
        <f t="shared" si="76"/>
        <v/>
      </c>
      <c r="K990" s="30" t="str">
        <f t="shared" si="77"/>
        <v/>
      </c>
      <c r="L990" s="30" t="str">
        <f t="shared" si="78"/>
        <v/>
      </c>
      <c r="M990" s="30" t="str">
        <f t="shared" si="79"/>
        <v/>
      </c>
    </row>
    <row r="991" spans="1:13" x14ac:dyDescent="0.2">
      <c r="A991" s="35"/>
      <c r="B991" s="21"/>
      <c r="C991" s="18"/>
      <c r="D991" s="20"/>
      <c r="E991" s="20"/>
      <c r="F991" s="21"/>
      <c r="G991" s="21"/>
      <c r="H991" s="18"/>
      <c r="I991" s="30" t="str">
        <f t="shared" si="75"/>
        <v/>
      </c>
      <c r="J991" s="38" t="str">
        <f t="shared" si="76"/>
        <v/>
      </c>
      <c r="K991" s="30" t="str">
        <f t="shared" si="77"/>
        <v/>
      </c>
      <c r="L991" s="30" t="str">
        <f t="shared" si="78"/>
        <v/>
      </c>
      <c r="M991" s="30" t="str">
        <f t="shared" si="79"/>
        <v/>
      </c>
    </row>
    <row r="992" spans="1:13" x14ac:dyDescent="0.2">
      <c r="A992" s="35"/>
      <c r="B992" s="21"/>
      <c r="C992" s="18"/>
      <c r="D992" s="20"/>
      <c r="E992" s="20"/>
      <c r="F992" s="21"/>
      <c r="G992" s="21"/>
      <c r="H992" s="18"/>
      <c r="I992" s="30" t="str">
        <f t="shared" si="75"/>
        <v/>
      </c>
      <c r="J992" s="38" t="str">
        <f t="shared" si="76"/>
        <v/>
      </c>
      <c r="K992" s="30" t="str">
        <f t="shared" si="77"/>
        <v/>
      </c>
      <c r="L992" s="30" t="str">
        <f t="shared" si="78"/>
        <v/>
      </c>
      <c r="M992" s="30" t="str">
        <f t="shared" si="79"/>
        <v/>
      </c>
    </row>
    <row r="993" spans="1:13" x14ac:dyDescent="0.2">
      <c r="A993" s="35"/>
      <c r="B993" s="21"/>
      <c r="C993" s="18"/>
      <c r="D993" s="20"/>
      <c r="E993" s="20"/>
      <c r="F993" s="21"/>
      <c r="G993" s="21"/>
      <c r="H993" s="18"/>
      <c r="I993" s="30" t="str">
        <f t="shared" si="75"/>
        <v/>
      </c>
      <c r="J993" s="38" t="str">
        <f t="shared" si="76"/>
        <v/>
      </c>
      <c r="K993" s="30" t="str">
        <f t="shared" si="77"/>
        <v/>
      </c>
      <c r="L993" s="30" t="str">
        <f t="shared" si="78"/>
        <v/>
      </c>
      <c r="M993" s="30" t="str">
        <f t="shared" si="79"/>
        <v/>
      </c>
    </row>
    <row r="994" spans="1:13" x14ac:dyDescent="0.2">
      <c r="A994" s="35"/>
      <c r="B994" s="21"/>
      <c r="C994" s="18"/>
      <c r="D994" s="20"/>
      <c r="E994" s="20"/>
      <c r="F994" s="21"/>
      <c r="G994" s="21"/>
      <c r="H994" s="18"/>
      <c r="I994" s="30" t="str">
        <f t="shared" si="75"/>
        <v/>
      </c>
      <c r="J994" s="38" t="str">
        <f t="shared" si="76"/>
        <v/>
      </c>
      <c r="K994" s="30" t="str">
        <f t="shared" si="77"/>
        <v/>
      </c>
      <c r="L994" s="30" t="str">
        <f t="shared" si="78"/>
        <v/>
      </c>
      <c r="M994" s="30" t="str">
        <f t="shared" si="79"/>
        <v/>
      </c>
    </row>
    <row r="995" spans="1:13" x14ac:dyDescent="0.2">
      <c r="A995" s="35"/>
      <c r="B995" s="21"/>
      <c r="C995" s="18"/>
      <c r="D995" s="20"/>
      <c r="E995" s="20"/>
      <c r="F995" s="21"/>
      <c r="G995" s="21"/>
      <c r="H995" s="18"/>
      <c r="I995" s="30" t="str">
        <f t="shared" si="75"/>
        <v/>
      </c>
      <c r="J995" s="38" t="str">
        <f t="shared" si="76"/>
        <v/>
      </c>
      <c r="K995" s="30" t="str">
        <f t="shared" si="77"/>
        <v/>
      </c>
      <c r="L995" s="30" t="str">
        <f t="shared" si="78"/>
        <v/>
      </c>
      <c r="M995" s="30" t="str">
        <f t="shared" si="79"/>
        <v/>
      </c>
    </row>
    <row r="996" spans="1:13" x14ac:dyDescent="0.2">
      <c r="A996" s="35"/>
      <c r="B996" s="21"/>
      <c r="C996" s="18"/>
      <c r="D996" s="20"/>
      <c r="E996" s="20"/>
      <c r="F996" s="21"/>
      <c r="G996" s="21"/>
      <c r="H996" s="18"/>
      <c r="I996" s="30" t="str">
        <f t="shared" si="75"/>
        <v/>
      </c>
      <c r="J996" s="38" t="str">
        <f t="shared" si="76"/>
        <v/>
      </c>
      <c r="K996" s="30" t="str">
        <f t="shared" si="77"/>
        <v/>
      </c>
      <c r="L996" s="30" t="str">
        <f t="shared" si="78"/>
        <v/>
      </c>
      <c r="M996" s="30" t="str">
        <f t="shared" si="79"/>
        <v/>
      </c>
    </row>
    <row r="997" spans="1:13" x14ac:dyDescent="0.2">
      <c r="A997" s="35"/>
      <c r="B997" s="21"/>
      <c r="C997" s="18"/>
      <c r="D997" s="20"/>
      <c r="E997" s="20"/>
      <c r="F997" s="21"/>
      <c r="G997" s="21"/>
      <c r="H997" s="18"/>
      <c r="I997" s="30" t="str">
        <f t="shared" si="75"/>
        <v/>
      </c>
      <c r="J997" s="38" t="str">
        <f t="shared" si="76"/>
        <v/>
      </c>
      <c r="K997" s="30" t="str">
        <f t="shared" si="77"/>
        <v/>
      </c>
      <c r="L997" s="30" t="str">
        <f t="shared" si="78"/>
        <v/>
      </c>
      <c r="M997" s="30" t="str">
        <f t="shared" si="79"/>
        <v/>
      </c>
    </row>
    <row r="998" spans="1:13" x14ac:dyDescent="0.2">
      <c r="A998" s="35"/>
      <c r="B998" s="21"/>
      <c r="C998" s="18"/>
      <c r="D998" s="20"/>
      <c r="E998" s="20"/>
      <c r="F998" s="21"/>
      <c r="G998" s="21"/>
      <c r="H998" s="18"/>
      <c r="I998" s="30" t="str">
        <f t="shared" si="75"/>
        <v/>
      </c>
      <c r="J998" s="38" t="str">
        <f t="shared" si="76"/>
        <v/>
      </c>
      <c r="K998" s="30" t="str">
        <f t="shared" si="77"/>
        <v/>
      </c>
      <c r="L998" s="30" t="str">
        <f t="shared" si="78"/>
        <v/>
      </c>
      <c r="M998" s="30" t="str">
        <f t="shared" si="79"/>
        <v/>
      </c>
    </row>
    <row r="999" spans="1:13" x14ac:dyDescent="0.2">
      <c r="A999" s="35"/>
      <c r="B999" s="21"/>
      <c r="C999" s="18"/>
      <c r="D999" s="20"/>
      <c r="E999" s="20"/>
      <c r="F999" s="21"/>
      <c r="G999" s="21"/>
      <c r="H999" s="18"/>
      <c r="I999" s="30" t="str">
        <f t="shared" si="75"/>
        <v/>
      </c>
      <c r="J999" s="38" t="str">
        <f t="shared" si="76"/>
        <v/>
      </c>
      <c r="K999" s="30" t="str">
        <f t="shared" si="77"/>
        <v/>
      </c>
      <c r="L999" s="30" t="str">
        <f t="shared" si="78"/>
        <v/>
      </c>
      <c r="M999" s="30" t="str">
        <f t="shared" si="79"/>
        <v/>
      </c>
    </row>
    <row r="1000" spans="1:13" x14ac:dyDescent="0.2">
      <c r="A1000" s="35"/>
      <c r="B1000" s="21"/>
      <c r="C1000" s="18"/>
      <c r="D1000" s="20"/>
      <c r="E1000" s="20"/>
      <c r="F1000" s="21"/>
      <c r="G1000" s="21"/>
      <c r="H1000" s="18"/>
      <c r="I1000" s="30" t="str">
        <f t="shared" si="75"/>
        <v/>
      </c>
      <c r="J1000" s="38" t="str">
        <f t="shared" si="76"/>
        <v/>
      </c>
      <c r="K1000" s="30" t="str">
        <f t="shared" si="77"/>
        <v/>
      </c>
      <c r="L1000" s="30" t="str">
        <f t="shared" si="78"/>
        <v/>
      </c>
      <c r="M1000" s="30" t="str">
        <f t="shared" si="79"/>
        <v/>
      </c>
    </row>
    <row r="1001" spans="1:13" x14ac:dyDescent="0.2">
      <c r="A1001" s="35"/>
      <c r="B1001" s="21"/>
      <c r="C1001" s="18"/>
      <c r="D1001" s="20"/>
      <c r="E1001" s="20"/>
      <c r="F1001" s="21"/>
      <c r="G1001" s="21"/>
      <c r="H1001" s="18"/>
      <c r="I1001" s="30" t="str">
        <f t="shared" si="75"/>
        <v/>
      </c>
      <c r="J1001" s="38" t="str">
        <f t="shared" si="76"/>
        <v/>
      </c>
      <c r="K1001" s="30" t="str">
        <f t="shared" si="77"/>
        <v/>
      </c>
      <c r="L1001" s="30" t="str">
        <f t="shared" si="78"/>
        <v/>
      </c>
      <c r="M1001" s="30" t="str">
        <f t="shared" si="79"/>
        <v/>
      </c>
    </row>
    <row r="1002" spans="1:13" x14ac:dyDescent="0.2">
      <c r="A1002" s="35"/>
      <c r="B1002" s="21"/>
      <c r="C1002" s="18"/>
      <c r="D1002" s="20"/>
      <c r="E1002" s="20"/>
      <c r="F1002" s="21"/>
      <c r="G1002" s="21"/>
      <c r="H1002" s="18"/>
      <c r="I1002" s="30" t="str">
        <f t="shared" si="75"/>
        <v/>
      </c>
      <c r="J1002" s="38" t="str">
        <f t="shared" si="76"/>
        <v/>
      </c>
      <c r="K1002" s="30" t="str">
        <f t="shared" si="77"/>
        <v/>
      </c>
      <c r="L1002" s="30" t="str">
        <f t="shared" si="78"/>
        <v/>
      </c>
      <c r="M1002" s="30" t="str">
        <f t="shared" si="79"/>
        <v/>
      </c>
    </row>
    <row r="1003" spans="1:13" x14ac:dyDescent="0.2">
      <c r="A1003" s="35"/>
      <c r="B1003" s="21"/>
      <c r="C1003" s="18"/>
      <c r="D1003" s="20"/>
      <c r="E1003" s="20"/>
      <c r="F1003" s="21"/>
      <c r="G1003" s="21"/>
      <c r="H1003" s="18"/>
      <c r="I1003" s="30" t="str">
        <f t="shared" si="75"/>
        <v/>
      </c>
      <c r="J1003" s="38" t="str">
        <f t="shared" si="76"/>
        <v/>
      </c>
      <c r="K1003" s="30" t="str">
        <f t="shared" si="77"/>
        <v/>
      </c>
      <c r="L1003" s="30" t="str">
        <f t="shared" si="78"/>
        <v/>
      </c>
      <c r="M1003" s="30" t="str">
        <f t="shared" si="79"/>
        <v/>
      </c>
    </row>
    <row r="1004" spans="1:13" x14ac:dyDescent="0.2">
      <c r="A1004" s="35"/>
      <c r="B1004" s="21"/>
      <c r="C1004" s="18"/>
      <c r="D1004" s="20"/>
      <c r="E1004" s="20"/>
      <c r="F1004" s="21"/>
      <c r="G1004" s="21"/>
      <c r="H1004" s="18"/>
      <c r="I1004" s="30" t="str">
        <f t="shared" si="75"/>
        <v/>
      </c>
      <c r="J1004" s="38" t="str">
        <f t="shared" si="76"/>
        <v/>
      </c>
      <c r="K1004" s="30" t="str">
        <f t="shared" si="77"/>
        <v/>
      </c>
      <c r="L1004" s="30" t="str">
        <f t="shared" si="78"/>
        <v/>
      </c>
      <c r="M1004" s="30" t="str">
        <f t="shared" si="79"/>
        <v/>
      </c>
    </row>
    <row r="1005" spans="1:13" x14ac:dyDescent="0.2">
      <c r="A1005" s="35"/>
      <c r="B1005" s="21"/>
      <c r="C1005" s="18"/>
      <c r="D1005" s="20"/>
      <c r="E1005" s="20"/>
      <c r="F1005" s="21"/>
      <c r="G1005" s="21"/>
      <c r="H1005" s="18"/>
      <c r="I1005" s="30" t="str">
        <f t="shared" si="75"/>
        <v/>
      </c>
      <c r="J1005" s="38" t="str">
        <f t="shared" si="76"/>
        <v/>
      </c>
      <c r="K1005" s="30" t="str">
        <f t="shared" si="77"/>
        <v/>
      </c>
      <c r="L1005" s="30" t="str">
        <f t="shared" si="78"/>
        <v/>
      </c>
      <c r="M1005" s="30" t="str">
        <f t="shared" si="79"/>
        <v/>
      </c>
    </row>
  </sheetData>
  <dataValidations count="4">
    <dataValidation type="list" allowBlank="1" showErrorMessage="1" errorTitle="Không có trong danh sách" error="Chọn từ danh sách ở trang 1 Danh mục." sqref="B6:B1005" xr:uid="{00000000-0002-0000-0300-000000000000}">
      <formula1>DS_CA</formula1>
    </dataValidation>
    <dataValidation type="list" allowBlank="1" showErrorMessage="1" errorTitle="Không có trong danh sách" error="Chọn từ danh sách ở trang 1 Danh mục." sqref="C6:C1005" xr:uid="{00000000-0002-0000-0300-000001000000}">
      <formula1>DS_MAY</formula1>
    </dataValidation>
    <dataValidation type="list" allowBlank="1" showErrorMessage="1" errorTitle="Không có trong danh sách" error="Chọn từ danh sách ở trang 1 Danh mục." sqref="F6:F1005" xr:uid="{00000000-0002-0000-0300-000002000000}">
      <formula1>DS_LYDO</formula1>
    </dataValidation>
    <dataValidation type="list" allowBlank="1" showErrorMessage="1" errorTitle="Không có trong danh sách" error="Chọn từ danh sách ở trang 1 Danh mục." sqref="G6:G1005" xr:uid="{00000000-0002-0000-0300-000003000000}">
      <formula1>DS_NV</formula1>
    </dataValidation>
  </dataValidations>
  <hyperlinks>
    <hyperlink ref="A3" location="'Bắt đầu'!A1" display="← Về trang Bắt đầu" xr:uid="{00000000-0004-0000-0300-000000000000}"/>
  </hyperlinks>
  <pageMargins left="0.75" right="0.75" top="1" bottom="1" header="0.5" footer="0.5"/>
  <pageSetup fitToHeight="0" orientation="landscape"/>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55"/>
  <sheetViews>
    <sheetView showGridLines="0" workbookViewId="0">
      <pane xSplit="1" ySplit="5" topLeftCell="B6" activePane="bottomRight" state="frozen"/>
      <selection pane="topRight"/>
      <selection pane="bottomLeft"/>
      <selection pane="bottomRight"/>
    </sheetView>
  </sheetViews>
  <sheetFormatPr baseColWidth="10" defaultColWidth="8.83203125" defaultRowHeight="15" x14ac:dyDescent="0.2"/>
  <cols>
    <col min="1" max="1" width="14" customWidth="1"/>
    <col min="2" max="2" width="9" customWidth="1"/>
    <col min="3" max="3" width="10" customWidth="1"/>
    <col min="4" max="5" width="11" customWidth="1"/>
    <col min="6" max="6" width="10" customWidth="1"/>
    <col min="7" max="7" width="9" customWidth="1"/>
    <col min="8" max="8" width="10" customWidth="1"/>
    <col min="9" max="9" width="8" customWidth="1"/>
    <col min="10" max="10" width="10" customWidth="1"/>
    <col min="11" max="11" width="8" customWidth="1"/>
    <col min="12" max="12" width="9" customWidth="1"/>
    <col min="13" max="13" width="13" customWidth="1"/>
  </cols>
  <sheetData>
    <row r="1" spans="1:13" ht="18" x14ac:dyDescent="0.2">
      <c r="A1" s="9" t="s">
        <v>161</v>
      </c>
    </row>
    <row r="2" spans="1:13" x14ac:dyDescent="0.2">
      <c r="A2" s="2" t="s">
        <v>162</v>
      </c>
    </row>
    <row r="3" spans="1:13" x14ac:dyDescent="0.2">
      <c r="A3" s="10" t="s">
        <v>37</v>
      </c>
    </row>
    <row r="4" spans="1:13" x14ac:dyDescent="0.2">
      <c r="A4" s="22" t="s">
        <v>163</v>
      </c>
      <c r="C4" s="39">
        <v>46290</v>
      </c>
      <c r="D4" s="24" t="s">
        <v>164</v>
      </c>
    </row>
    <row r="5" spans="1:13" ht="42" customHeight="1" x14ac:dyDescent="0.2">
      <c r="A5" s="12" t="s">
        <v>129</v>
      </c>
      <c r="B5" s="12" t="s">
        <v>51</v>
      </c>
      <c r="C5" s="12" t="s">
        <v>165</v>
      </c>
      <c r="D5" s="12" t="s">
        <v>166</v>
      </c>
      <c r="E5" s="12" t="s">
        <v>167</v>
      </c>
      <c r="F5" s="12" t="s">
        <v>168</v>
      </c>
      <c r="G5" s="12" t="s">
        <v>169</v>
      </c>
      <c r="H5" s="12" t="s">
        <v>170</v>
      </c>
      <c r="I5" s="12" t="s">
        <v>171</v>
      </c>
      <c r="J5" s="12" t="s">
        <v>172</v>
      </c>
      <c r="K5" s="12" t="s">
        <v>173</v>
      </c>
      <c r="L5" s="12" t="s">
        <v>174</v>
      </c>
      <c r="M5" s="12" t="s">
        <v>175</v>
      </c>
    </row>
    <row r="6" spans="1:13" x14ac:dyDescent="0.2">
      <c r="A6" s="13" t="s">
        <v>149</v>
      </c>
      <c r="B6" s="17" t="s">
        <v>64</v>
      </c>
      <c r="C6" s="26">
        <v>4000</v>
      </c>
      <c r="D6" s="25">
        <v>46286</v>
      </c>
      <c r="E6" s="25">
        <v>46295</v>
      </c>
      <c r="F6" s="28">
        <f>IF($A6="","",SUMIFS('2 Sản lượng theo ca'!$L$6:$L$505,'2 Sản lượng theo ca'!$F$6:$F$505,$A6,'2 Sản lượng theo ca'!$A$6:$A$505,"&lt;="&amp;$C$4))</f>
        <v>3267</v>
      </c>
      <c r="G6" s="28">
        <f t="shared" ref="G6:G37" si="0">IF($A6="","",MAX(0,C6-F6))</f>
        <v>733</v>
      </c>
      <c r="H6" s="29">
        <f t="shared" ref="H6:H37" si="1">IF(OR($A6="",N(C6)&lt;=0),"",F6/C6)</f>
        <v>0.81674999999999998</v>
      </c>
      <c r="I6" s="30">
        <f>IF($A6="","",COUNTIFS('2 Sản lượng theo ca'!$F$6:$F$505,$A6,'2 Sản lượng theo ca'!$A$6:$A$505,"&lt;="&amp;$C$4))</f>
        <v>10</v>
      </c>
      <c r="J6" s="28">
        <f t="shared" ref="J6:J37" si="2">IF(OR($A6="",N(I6)=0),"",F6/I6)</f>
        <v>326.7</v>
      </c>
      <c r="K6" s="30">
        <f t="shared" ref="K6:K37" si="3">IF($A6="","",IF(G6=0,0,IF(J6="","",ROUNDUP(G6/J6,0))))</f>
        <v>3</v>
      </c>
      <c r="L6" s="30">
        <f t="shared" ref="L6:L37" si="4">IF(OR($A6="",E6=""),"",MAX(0,NETWORKDAYS.INTL($C$4+1,E6,NGHI_TUAN))*COUNTA(DS_CA))</f>
        <v>8</v>
      </c>
      <c r="M6" s="30" t="str">
        <f t="shared" ref="M6:M37" si="5">IF($A6="","",IF(G6=0,"Đã xong",IF(N(I6)=0,"Chưa chạy",IF(K6&lt;=L6,"Kịp","Nguy cơ trễ"))))</f>
        <v>Kịp</v>
      </c>
    </row>
    <row r="7" spans="1:13" x14ac:dyDescent="0.2">
      <c r="A7" s="13" t="s">
        <v>150</v>
      </c>
      <c r="B7" s="17" t="s">
        <v>74</v>
      </c>
      <c r="C7" s="26">
        <v>5000</v>
      </c>
      <c r="D7" s="25">
        <v>46286</v>
      </c>
      <c r="E7" s="25">
        <v>46294</v>
      </c>
      <c r="F7" s="28">
        <f>IF($A7="","",SUMIFS('2 Sản lượng theo ca'!$L$6:$L$505,'2 Sản lượng theo ca'!$F$6:$F$505,$A7,'2 Sản lượng theo ca'!$A$6:$A$505,"&lt;="&amp;$C$4))</f>
        <v>4257</v>
      </c>
      <c r="G7" s="28">
        <f t="shared" si="0"/>
        <v>743</v>
      </c>
      <c r="H7" s="29">
        <f t="shared" si="1"/>
        <v>0.85140000000000005</v>
      </c>
      <c r="I7" s="30">
        <f>IF($A7="","",COUNTIFS('2 Sản lượng theo ca'!$F$6:$F$505,$A7,'2 Sản lượng theo ca'!$A$6:$A$505,"&lt;="&amp;$C$4))</f>
        <v>10</v>
      </c>
      <c r="J7" s="28">
        <f t="shared" si="2"/>
        <v>425.7</v>
      </c>
      <c r="K7" s="30">
        <f t="shared" si="3"/>
        <v>2</v>
      </c>
      <c r="L7" s="30">
        <f t="shared" si="4"/>
        <v>6</v>
      </c>
      <c r="M7" s="30" t="str">
        <f t="shared" si="5"/>
        <v>Kịp</v>
      </c>
    </row>
    <row r="8" spans="1:13" x14ac:dyDescent="0.2">
      <c r="A8" s="13" t="s">
        <v>151</v>
      </c>
      <c r="B8" s="17" t="s">
        <v>83</v>
      </c>
      <c r="C8" s="26">
        <v>3500</v>
      </c>
      <c r="D8" s="25">
        <v>46286</v>
      </c>
      <c r="E8" s="25">
        <v>46293</v>
      </c>
      <c r="F8" s="28">
        <f>IF($A8="","",SUMIFS('2 Sản lượng theo ca'!$L$6:$L$505,'2 Sản lượng theo ca'!$F$6:$F$505,$A8,'2 Sản lượng theo ca'!$A$6:$A$505,"&lt;="&amp;$C$4))</f>
        <v>2018</v>
      </c>
      <c r="G8" s="28">
        <f t="shared" si="0"/>
        <v>1482</v>
      </c>
      <c r="H8" s="29">
        <f t="shared" si="1"/>
        <v>0.57657142857142862</v>
      </c>
      <c r="I8" s="30">
        <f>IF($A8="","",COUNTIFS('2 Sản lượng theo ca'!$F$6:$F$505,$A8,'2 Sản lượng theo ca'!$A$6:$A$505,"&lt;="&amp;$C$4))</f>
        <v>10</v>
      </c>
      <c r="J8" s="28">
        <f t="shared" si="2"/>
        <v>201.8</v>
      </c>
      <c r="K8" s="30">
        <f t="shared" si="3"/>
        <v>8</v>
      </c>
      <c r="L8" s="30">
        <f t="shared" si="4"/>
        <v>4</v>
      </c>
      <c r="M8" s="30" t="str">
        <f t="shared" si="5"/>
        <v>Nguy cơ trễ</v>
      </c>
    </row>
    <row r="9" spans="1:13" x14ac:dyDescent="0.2">
      <c r="A9" s="13" t="s">
        <v>152</v>
      </c>
      <c r="B9" s="17" t="s">
        <v>92</v>
      </c>
      <c r="C9" s="26">
        <v>8500</v>
      </c>
      <c r="D9" s="25">
        <v>46286</v>
      </c>
      <c r="E9" s="25">
        <v>46289</v>
      </c>
      <c r="F9" s="28">
        <f>IF($A9="","",SUMIFS('2 Sản lượng theo ca'!$L$6:$L$505,'2 Sản lượng theo ca'!$F$6:$F$505,$A9,'2 Sản lượng theo ca'!$A$6:$A$505,"&lt;="&amp;$C$4))</f>
        <v>8508</v>
      </c>
      <c r="G9" s="28">
        <f t="shared" si="0"/>
        <v>0</v>
      </c>
      <c r="H9" s="29">
        <f t="shared" si="1"/>
        <v>1.0009411764705882</v>
      </c>
      <c r="I9" s="30">
        <f>IF($A9="","",COUNTIFS('2 Sản lượng theo ca'!$F$6:$F$505,$A9,'2 Sản lượng theo ca'!$A$6:$A$505,"&lt;="&amp;$C$4))</f>
        <v>6</v>
      </c>
      <c r="J9" s="28">
        <f t="shared" si="2"/>
        <v>1418</v>
      </c>
      <c r="K9" s="30">
        <f t="shared" si="3"/>
        <v>0</v>
      </c>
      <c r="L9" s="30">
        <f t="shared" si="4"/>
        <v>0</v>
      </c>
      <c r="M9" s="30" t="str">
        <f t="shared" si="5"/>
        <v>Đã xong</v>
      </c>
    </row>
    <row r="10" spans="1:13" x14ac:dyDescent="0.2">
      <c r="A10" s="13" t="s">
        <v>154</v>
      </c>
      <c r="B10" s="17" t="s">
        <v>99</v>
      </c>
      <c r="C10" s="26">
        <v>12000</v>
      </c>
      <c r="D10" s="25">
        <v>46289</v>
      </c>
      <c r="E10" s="25">
        <v>46297</v>
      </c>
      <c r="F10" s="28">
        <f>IF($A10="","",SUMIFS('2 Sản lượng theo ca'!$L$6:$L$505,'2 Sản lượng theo ca'!$F$6:$F$505,$A10,'2 Sản lượng theo ca'!$A$6:$A$505,"&lt;="&amp;$C$4))</f>
        <v>7706</v>
      </c>
      <c r="G10" s="28">
        <f t="shared" si="0"/>
        <v>4294</v>
      </c>
      <c r="H10" s="29">
        <f t="shared" si="1"/>
        <v>0.64216666666666666</v>
      </c>
      <c r="I10" s="30">
        <f>IF($A10="","",COUNTIFS('2 Sản lượng theo ca'!$F$6:$F$505,$A10,'2 Sản lượng theo ca'!$A$6:$A$505,"&lt;="&amp;$C$4))</f>
        <v>4</v>
      </c>
      <c r="J10" s="28">
        <f t="shared" si="2"/>
        <v>1926.5</v>
      </c>
      <c r="K10" s="30">
        <f t="shared" si="3"/>
        <v>3</v>
      </c>
      <c r="L10" s="30">
        <f t="shared" si="4"/>
        <v>12</v>
      </c>
      <c r="M10" s="30" t="str">
        <f t="shared" si="5"/>
        <v>Kịp</v>
      </c>
    </row>
    <row r="11" spans="1:13" x14ac:dyDescent="0.2">
      <c r="A11" s="18"/>
      <c r="B11" s="21"/>
      <c r="C11" s="36"/>
      <c r="D11" s="35"/>
      <c r="E11" s="35"/>
      <c r="F11" s="28" t="str">
        <f>IF($A11="","",SUMIFS('2 Sản lượng theo ca'!$L$6:$L$505,'2 Sản lượng theo ca'!$F$6:$F$505,$A11,'2 Sản lượng theo ca'!$A$6:$A$505,"&lt;="&amp;$C$4))</f>
        <v/>
      </c>
      <c r="G11" s="28" t="str">
        <f t="shared" si="0"/>
        <v/>
      </c>
      <c r="H11" s="29" t="str">
        <f t="shared" si="1"/>
        <v/>
      </c>
      <c r="I11" s="30" t="str">
        <f>IF($A11="","",COUNTIFS('2 Sản lượng theo ca'!$F$6:$F$505,$A11,'2 Sản lượng theo ca'!$A$6:$A$505,"&lt;="&amp;$C$4))</f>
        <v/>
      </c>
      <c r="J11" s="28" t="str">
        <f t="shared" si="2"/>
        <v/>
      </c>
      <c r="K11" s="30" t="str">
        <f t="shared" si="3"/>
        <v/>
      </c>
      <c r="L11" s="30" t="str">
        <f t="shared" si="4"/>
        <v/>
      </c>
      <c r="M11" s="30" t="str">
        <f t="shared" si="5"/>
        <v/>
      </c>
    </row>
    <row r="12" spans="1:13" x14ac:dyDescent="0.2">
      <c r="A12" s="18"/>
      <c r="B12" s="21"/>
      <c r="C12" s="36"/>
      <c r="D12" s="35"/>
      <c r="E12" s="35"/>
      <c r="F12" s="28" t="str">
        <f>IF($A12="","",SUMIFS('2 Sản lượng theo ca'!$L$6:$L$505,'2 Sản lượng theo ca'!$F$6:$F$505,$A12,'2 Sản lượng theo ca'!$A$6:$A$505,"&lt;="&amp;$C$4))</f>
        <v/>
      </c>
      <c r="G12" s="28" t="str">
        <f t="shared" si="0"/>
        <v/>
      </c>
      <c r="H12" s="29" t="str">
        <f t="shared" si="1"/>
        <v/>
      </c>
      <c r="I12" s="30" t="str">
        <f>IF($A12="","",COUNTIFS('2 Sản lượng theo ca'!$F$6:$F$505,$A12,'2 Sản lượng theo ca'!$A$6:$A$505,"&lt;="&amp;$C$4))</f>
        <v/>
      </c>
      <c r="J12" s="28" t="str">
        <f t="shared" si="2"/>
        <v/>
      </c>
      <c r="K12" s="30" t="str">
        <f t="shared" si="3"/>
        <v/>
      </c>
      <c r="L12" s="30" t="str">
        <f t="shared" si="4"/>
        <v/>
      </c>
      <c r="M12" s="30" t="str">
        <f t="shared" si="5"/>
        <v/>
      </c>
    </row>
    <row r="13" spans="1:13" x14ac:dyDescent="0.2">
      <c r="A13" s="18"/>
      <c r="B13" s="21"/>
      <c r="C13" s="36"/>
      <c r="D13" s="35"/>
      <c r="E13" s="35"/>
      <c r="F13" s="28" t="str">
        <f>IF($A13="","",SUMIFS('2 Sản lượng theo ca'!$L$6:$L$505,'2 Sản lượng theo ca'!$F$6:$F$505,$A13,'2 Sản lượng theo ca'!$A$6:$A$505,"&lt;="&amp;$C$4))</f>
        <v/>
      </c>
      <c r="G13" s="28" t="str">
        <f t="shared" si="0"/>
        <v/>
      </c>
      <c r="H13" s="29" t="str">
        <f t="shared" si="1"/>
        <v/>
      </c>
      <c r="I13" s="30" t="str">
        <f>IF($A13="","",COUNTIFS('2 Sản lượng theo ca'!$F$6:$F$505,$A13,'2 Sản lượng theo ca'!$A$6:$A$505,"&lt;="&amp;$C$4))</f>
        <v/>
      </c>
      <c r="J13" s="28" t="str">
        <f t="shared" si="2"/>
        <v/>
      </c>
      <c r="K13" s="30" t="str">
        <f t="shared" si="3"/>
        <v/>
      </c>
      <c r="L13" s="30" t="str">
        <f t="shared" si="4"/>
        <v/>
      </c>
      <c r="M13" s="30" t="str">
        <f t="shared" si="5"/>
        <v/>
      </c>
    </row>
    <row r="14" spans="1:13" x14ac:dyDescent="0.2">
      <c r="A14" s="18"/>
      <c r="B14" s="21"/>
      <c r="C14" s="36"/>
      <c r="D14" s="35"/>
      <c r="E14" s="35"/>
      <c r="F14" s="28" t="str">
        <f>IF($A14="","",SUMIFS('2 Sản lượng theo ca'!$L$6:$L$505,'2 Sản lượng theo ca'!$F$6:$F$505,$A14,'2 Sản lượng theo ca'!$A$6:$A$505,"&lt;="&amp;$C$4))</f>
        <v/>
      </c>
      <c r="G14" s="28" t="str">
        <f t="shared" si="0"/>
        <v/>
      </c>
      <c r="H14" s="29" t="str">
        <f t="shared" si="1"/>
        <v/>
      </c>
      <c r="I14" s="30" t="str">
        <f>IF($A14="","",COUNTIFS('2 Sản lượng theo ca'!$F$6:$F$505,$A14,'2 Sản lượng theo ca'!$A$6:$A$505,"&lt;="&amp;$C$4))</f>
        <v/>
      </c>
      <c r="J14" s="28" t="str">
        <f t="shared" si="2"/>
        <v/>
      </c>
      <c r="K14" s="30" t="str">
        <f t="shared" si="3"/>
        <v/>
      </c>
      <c r="L14" s="30" t="str">
        <f t="shared" si="4"/>
        <v/>
      </c>
      <c r="M14" s="30" t="str">
        <f t="shared" si="5"/>
        <v/>
      </c>
    </row>
    <row r="15" spans="1:13" x14ac:dyDescent="0.2">
      <c r="A15" s="18"/>
      <c r="B15" s="21"/>
      <c r="C15" s="36"/>
      <c r="D15" s="35"/>
      <c r="E15" s="35"/>
      <c r="F15" s="28" t="str">
        <f>IF($A15="","",SUMIFS('2 Sản lượng theo ca'!$L$6:$L$505,'2 Sản lượng theo ca'!$F$6:$F$505,$A15,'2 Sản lượng theo ca'!$A$6:$A$505,"&lt;="&amp;$C$4))</f>
        <v/>
      </c>
      <c r="G15" s="28" t="str">
        <f t="shared" si="0"/>
        <v/>
      </c>
      <c r="H15" s="29" t="str">
        <f t="shared" si="1"/>
        <v/>
      </c>
      <c r="I15" s="30" t="str">
        <f>IF($A15="","",COUNTIFS('2 Sản lượng theo ca'!$F$6:$F$505,$A15,'2 Sản lượng theo ca'!$A$6:$A$505,"&lt;="&amp;$C$4))</f>
        <v/>
      </c>
      <c r="J15" s="28" t="str">
        <f t="shared" si="2"/>
        <v/>
      </c>
      <c r="K15" s="30" t="str">
        <f t="shared" si="3"/>
        <v/>
      </c>
      <c r="L15" s="30" t="str">
        <f t="shared" si="4"/>
        <v/>
      </c>
      <c r="M15" s="30" t="str">
        <f t="shared" si="5"/>
        <v/>
      </c>
    </row>
    <row r="16" spans="1:13" x14ac:dyDescent="0.2">
      <c r="A16" s="18"/>
      <c r="B16" s="21"/>
      <c r="C16" s="36"/>
      <c r="D16" s="35"/>
      <c r="E16" s="35"/>
      <c r="F16" s="28" t="str">
        <f>IF($A16="","",SUMIFS('2 Sản lượng theo ca'!$L$6:$L$505,'2 Sản lượng theo ca'!$F$6:$F$505,$A16,'2 Sản lượng theo ca'!$A$6:$A$505,"&lt;="&amp;$C$4))</f>
        <v/>
      </c>
      <c r="G16" s="28" t="str">
        <f t="shared" si="0"/>
        <v/>
      </c>
      <c r="H16" s="29" t="str">
        <f t="shared" si="1"/>
        <v/>
      </c>
      <c r="I16" s="30" t="str">
        <f>IF($A16="","",COUNTIFS('2 Sản lượng theo ca'!$F$6:$F$505,$A16,'2 Sản lượng theo ca'!$A$6:$A$505,"&lt;="&amp;$C$4))</f>
        <v/>
      </c>
      <c r="J16" s="28" t="str">
        <f t="shared" si="2"/>
        <v/>
      </c>
      <c r="K16" s="30" t="str">
        <f t="shared" si="3"/>
        <v/>
      </c>
      <c r="L16" s="30" t="str">
        <f t="shared" si="4"/>
        <v/>
      </c>
      <c r="M16" s="30" t="str">
        <f t="shared" si="5"/>
        <v/>
      </c>
    </row>
    <row r="17" spans="1:13" x14ac:dyDescent="0.2">
      <c r="A17" s="18"/>
      <c r="B17" s="21"/>
      <c r="C17" s="36"/>
      <c r="D17" s="35"/>
      <c r="E17" s="35"/>
      <c r="F17" s="28" t="str">
        <f>IF($A17="","",SUMIFS('2 Sản lượng theo ca'!$L$6:$L$505,'2 Sản lượng theo ca'!$F$6:$F$505,$A17,'2 Sản lượng theo ca'!$A$6:$A$505,"&lt;="&amp;$C$4))</f>
        <v/>
      </c>
      <c r="G17" s="28" t="str">
        <f t="shared" si="0"/>
        <v/>
      </c>
      <c r="H17" s="29" t="str">
        <f t="shared" si="1"/>
        <v/>
      </c>
      <c r="I17" s="30" t="str">
        <f>IF($A17="","",COUNTIFS('2 Sản lượng theo ca'!$F$6:$F$505,$A17,'2 Sản lượng theo ca'!$A$6:$A$505,"&lt;="&amp;$C$4))</f>
        <v/>
      </c>
      <c r="J17" s="28" t="str">
        <f t="shared" si="2"/>
        <v/>
      </c>
      <c r="K17" s="30" t="str">
        <f t="shared" si="3"/>
        <v/>
      </c>
      <c r="L17" s="30" t="str">
        <f t="shared" si="4"/>
        <v/>
      </c>
      <c r="M17" s="30" t="str">
        <f t="shared" si="5"/>
        <v/>
      </c>
    </row>
    <row r="18" spans="1:13" x14ac:dyDescent="0.2">
      <c r="A18" s="18"/>
      <c r="B18" s="21"/>
      <c r="C18" s="36"/>
      <c r="D18" s="35"/>
      <c r="E18" s="35"/>
      <c r="F18" s="28" t="str">
        <f>IF($A18="","",SUMIFS('2 Sản lượng theo ca'!$L$6:$L$505,'2 Sản lượng theo ca'!$F$6:$F$505,$A18,'2 Sản lượng theo ca'!$A$6:$A$505,"&lt;="&amp;$C$4))</f>
        <v/>
      </c>
      <c r="G18" s="28" t="str">
        <f t="shared" si="0"/>
        <v/>
      </c>
      <c r="H18" s="29" t="str">
        <f t="shared" si="1"/>
        <v/>
      </c>
      <c r="I18" s="30" t="str">
        <f>IF($A18="","",COUNTIFS('2 Sản lượng theo ca'!$F$6:$F$505,$A18,'2 Sản lượng theo ca'!$A$6:$A$505,"&lt;="&amp;$C$4))</f>
        <v/>
      </c>
      <c r="J18" s="28" t="str">
        <f t="shared" si="2"/>
        <v/>
      </c>
      <c r="K18" s="30" t="str">
        <f t="shared" si="3"/>
        <v/>
      </c>
      <c r="L18" s="30" t="str">
        <f t="shared" si="4"/>
        <v/>
      </c>
      <c r="M18" s="30" t="str">
        <f t="shared" si="5"/>
        <v/>
      </c>
    </row>
    <row r="19" spans="1:13" x14ac:dyDescent="0.2">
      <c r="A19" s="18"/>
      <c r="B19" s="21"/>
      <c r="C19" s="36"/>
      <c r="D19" s="35"/>
      <c r="E19" s="35"/>
      <c r="F19" s="28" t="str">
        <f>IF($A19="","",SUMIFS('2 Sản lượng theo ca'!$L$6:$L$505,'2 Sản lượng theo ca'!$F$6:$F$505,$A19,'2 Sản lượng theo ca'!$A$6:$A$505,"&lt;="&amp;$C$4))</f>
        <v/>
      </c>
      <c r="G19" s="28" t="str">
        <f t="shared" si="0"/>
        <v/>
      </c>
      <c r="H19" s="29" t="str">
        <f t="shared" si="1"/>
        <v/>
      </c>
      <c r="I19" s="30" t="str">
        <f>IF($A19="","",COUNTIFS('2 Sản lượng theo ca'!$F$6:$F$505,$A19,'2 Sản lượng theo ca'!$A$6:$A$505,"&lt;="&amp;$C$4))</f>
        <v/>
      </c>
      <c r="J19" s="28" t="str">
        <f t="shared" si="2"/>
        <v/>
      </c>
      <c r="K19" s="30" t="str">
        <f t="shared" si="3"/>
        <v/>
      </c>
      <c r="L19" s="30" t="str">
        <f t="shared" si="4"/>
        <v/>
      </c>
      <c r="M19" s="30" t="str">
        <f t="shared" si="5"/>
        <v/>
      </c>
    </row>
    <row r="20" spans="1:13" x14ac:dyDescent="0.2">
      <c r="A20" s="18"/>
      <c r="B20" s="21"/>
      <c r="C20" s="36"/>
      <c r="D20" s="35"/>
      <c r="E20" s="35"/>
      <c r="F20" s="28" t="str">
        <f>IF($A20="","",SUMIFS('2 Sản lượng theo ca'!$L$6:$L$505,'2 Sản lượng theo ca'!$F$6:$F$505,$A20,'2 Sản lượng theo ca'!$A$6:$A$505,"&lt;="&amp;$C$4))</f>
        <v/>
      </c>
      <c r="G20" s="28" t="str">
        <f t="shared" si="0"/>
        <v/>
      </c>
      <c r="H20" s="29" t="str">
        <f t="shared" si="1"/>
        <v/>
      </c>
      <c r="I20" s="30" t="str">
        <f>IF($A20="","",COUNTIFS('2 Sản lượng theo ca'!$F$6:$F$505,$A20,'2 Sản lượng theo ca'!$A$6:$A$505,"&lt;="&amp;$C$4))</f>
        <v/>
      </c>
      <c r="J20" s="28" t="str">
        <f t="shared" si="2"/>
        <v/>
      </c>
      <c r="K20" s="30" t="str">
        <f t="shared" si="3"/>
        <v/>
      </c>
      <c r="L20" s="30" t="str">
        <f t="shared" si="4"/>
        <v/>
      </c>
      <c r="M20" s="30" t="str">
        <f t="shared" si="5"/>
        <v/>
      </c>
    </row>
    <row r="21" spans="1:13" x14ac:dyDescent="0.2">
      <c r="A21" s="18"/>
      <c r="B21" s="21"/>
      <c r="C21" s="36"/>
      <c r="D21" s="35"/>
      <c r="E21" s="35"/>
      <c r="F21" s="28" t="str">
        <f>IF($A21="","",SUMIFS('2 Sản lượng theo ca'!$L$6:$L$505,'2 Sản lượng theo ca'!$F$6:$F$505,$A21,'2 Sản lượng theo ca'!$A$6:$A$505,"&lt;="&amp;$C$4))</f>
        <v/>
      </c>
      <c r="G21" s="28" t="str">
        <f t="shared" si="0"/>
        <v/>
      </c>
      <c r="H21" s="29" t="str">
        <f t="shared" si="1"/>
        <v/>
      </c>
      <c r="I21" s="30" t="str">
        <f>IF($A21="","",COUNTIFS('2 Sản lượng theo ca'!$F$6:$F$505,$A21,'2 Sản lượng theo ca'!$A$6:$A$505,"&lt;="&amp;$C$4))</f>
        <v/>
      </c>
      <c r="J21" s="28" t="str">
        <f t="shared" si="2"/>
        <v/>
      </c>
      <c r="K21" s="30" t="str">
        <f t="shared" si="3"/>
        <v/>
      </c>
      <c r="L21" s="30" t="str">
        <f t="shared" si="4"/>
        <v/>
      </c>
      <c r="M21" s="30" t="str">
        <f t="shared" si="5"/>
        <v/>
      </c>
    </row>
    <row r="22" spans="1:13" x14ac:dyDescent="0.2">
      <c r="A22" s="18"/>
      <c r="B22" s="21"/>
      <c r="C22" s="36"/>
      <c r="D22" s="35"/>
      <c r="E22" s="35"/>
      <c r="F22" s="28" t="str">
        <f>IF($A22="","",SUMIFS('2 Sản lượng theo ca'!$L$6:$L$505,'2 Sản lượng theo ca'!$F$6:$F$505,$A22,'2 Sản lượng theo ca'!$A$6:$A$505,"&lt;="&amp;$C$4))</f>
        <v/>
      </c>
      <c r="G22" s="28" t="str">
        <f t="shared" si="0"/>
        <v/>
      </c>
      <c r="H22" s="29" t="str">
        <f t="shared" si="1"/>
        <v/>
      </c>
      <c r="I22" s="30" t="str">
        <f>IF($A22="","",COUNTIFS('2 Sản lượng theo ca'!$F$6:$F$505,$A22,'2 Sản lượng theo ca'!$A$6:$A$505,"&lt;="&amp;$C$4))</f>
        <v/>
      </c>
      <c r="J22" s="28" t="str">
        <f t="shared" si="2"/>
        <v/>
      </c>
      <c r="K22" s="30" t="str">
        <f t="shared" si="3"/>
        <v/>
      </c>
      <c r="L22" s="30" t="str">
        <f t="shared" si="4"/>
        <v/>
      </c>
      <c r="M22" s="30" t="str">
        <f t="shared" si="5"/>
        <v/>
      </c>
    </row>
    <row r="23" spans="1:13" x14ac:dyDescent="0.2">
      <c r="A23" s="18"/>
      <c r="B23" s="21"/>
      <c r="C23" s="36"/>
      <c r="D23" s="35"/>
      <c r="E23" s="35"/>
      <c r="F23" s="28" t="str">
        <f>IF($A23="","",SUMIFS('2 Sản lượng theo ca'!$L$6:$L$505,'2 Sản lượng theo ca'!$F$6:$F$505,$A23,'2 Sản lượng theo ca'!$A$6:$A$505,"&lt;="&amp;$C$4))</f>
        <v/>
      </c>
      <c r="G23" s="28" t="str">
        <f t="shared" si="0"/>
        <v/>
      </c>
      <c r="H23" s="29" t="str">
        <f t="shared" si="1"/>
        <v/>
      </c>
      <c r="I23" s="30" t="str">
        <f>IF($A23="","",COUNTIFS('2 Sản lượng theo ca'!$F$6:$F$505,$A23,'2 Sản lượng theo ca'!$A$6:$A$505,"&lt;="&amp;$C$4))</f>
        <v/>
      </c>
      <c r="J23" s="28" t="str">
        <f t="shared" si="2"/>
        <v/>
      </c>
      <c r="K23" s="30" t="str">
        <f t="shared" si="3"/>
        <v/>
      </c>
      <c r="L23" s="30" t="str">
        <f t="shared" si="4"/>
        <v/>
      </c>
      <c r="M23" s="30" t="str">
        <f t="shared" si="5"/>
        <v/>
      </c>
    </row>
    <row r="24" spans="1:13" x14ac:dyDescent="0.2">
      <c r="A24" s="18"/>
      <c r="B24" s="21"/>
      <c r="C24" s="36"/>
      <c r="D24" s="35"/>
      <c r="E24" s="35"/>
      <c r="F24" s="28" t="str">
        <f>IF($A24="","",SUMIFS('2 Sản lượng theo ca'!$L$6:$L$505,'2 Sản lượng theo ca'!$F$6:$F$505,$A24,'2 Sản lượng theo ca'!$A$6:$A$505,"&lt;="&amp;$C$4))</f>
        <v/>
      </c>
      <c r="G24" s="28" t="str">
        <f t="shared" si="0"/>
        <v/>
      </c>
      <c r="H24" s="29" t="str">
        <f t="shared" si="1"/>
        <v/>
      </c>
      <c r="I24" s="30" t="str">
        <f>IF($A24="","",COUNTIFS('2 Sản lượng theo ca'!$F$6:$F$505,$A24,'2 Sản lượng theo ca'!$A$6:$A$505,"&lt;="&amp;$C$4))</f>
        <v/>
      </c>
      <c r="J24" s="28" t="str">
        <f t="shared" si="2"/>
        <v/>
      </c>
      <c r="K24" s="30" t="str">
        <f t="shared" si="3"/>
        <v/>
      </c>
      <c r="L24" s="30" t="str">
        <f t="shared" si="4"/>
        <v/>
      </c>
      <c r="M24" s="30" t="str">
        <f t="shared" si="5"/>
        <v/>
      </c>
    </row>
    <row r="25" spans="1:13" x14ac:dyDescent="0.2">
      <c r="A25" s="18"/>
      <c r="B25" s="21"/>
      <c r="C25" s="36"/>
      <c r="D25" s="35"/>
      <c r="E25" s="35"/>
      <c r="F25" s="28" t="str">
        <f>IF($A25="","",SUMIFS('2 Sản lượng theo ca'!$L$6:$L$505,'2 Sản lượng theo ca'!$F$6:$F$505,$A25,'2 Sản lượng theo ca'!$A$6:$A$505,"&lt;="&amp;$C$4))</f>
        <v/>
      </c>
      <c r="G25" s="28" t="str">
        <f t="shared" si="0"/>
        <v/>
      </c>
      <c r="H25" s="29" t="str">
        <f t="shared" si="1"/>
        <v/>
      </c>
      <c r="I25" s="30" t="str">
        <f>IF($A25="","",COUNTIFS('2 Sản lượng theo ca'!$F$6:$F$505,$A25,'2 Sản lượng theo ca'!$A$6:$A$505,"&lt;="&amp;$C$4))</f>
        <v/>
      </c>
      <c r="J25" s="28" t="str">
        <f t="shared" si="2"/>
        <v/>
      </c>
      <c r="K25" s="30" t="str">
        <f t="shared" si="3"/>
        <v/>
      </c>
      <c r="L25" s="30" t="str">
        <f t="shared" si="4"/>
        <v/>
      </c>
      <c r="M25" s="30" t="str">
        <f t="shared" si="5"/>
        <v/>
      </c>
    </row>
    <row r="26" spans="1:13" x14ac:dyDescent="0.2">
      <c r="A26" s="18"/>
      <c r="B26" s="21"/>
      <c r="C26" s="36"/>
      <c r="D26" s="35"/>
      <c r="E26" s="35"/>
      <c r="F26" s="28" t="str">
        <f>IF($A26="","",SUMIFS('2 Sản lượng theo ca'!$L$6:$L$505,'2 Sản lượng theo ca'!$F$6:$F$505,$A26,'2 Sản lượng theo ca'!$A$6:$A$505,"&lt;="&amp;$C$4))</f>
        <v/>
      </c>
      <c r="G26" s="28" t="str">
        <f t="shared" si="0"/>
        <v/>
      </c>
      <c r="H26" s="29" t="str">
        <f t="shared" si="1"/>
        <v/>
      </c>
      <c r="I26" s="30" t="str">
        <f>IF($A26="","",COUNTIFS('2 Sản lượng theo ca'!$F$6:$F$505,$A26,'2 Sản lượng theo ca'!$A$6:$A$505,"&lt;="&amp;$C$4))</f>
        <v/>
      </c>
      <c r="J26" s="28" t="str">
        <f t="shared" si="2"/>
        <v/>
      </c>
      <c r="K26" s="30" t="str">
        <f t="shared" si="3"/>
        <v/>
      </c>
      <c r="L26" s="30" t="str">
        <f t="shared" si="4"/>
        <v/>
      </c>
      <c r="M26" s="30" t="str">
        <f t="shared" si="5"/>
        <v/>
      </c>
    </row>
    <row r="27" spans="1:13" x14ac:dyDescent="0.2">
      <c r="A27" s="18"/>
      <c r="B27" s="21"/>
      <c r="C27" s="36"/>
      <c r="D27" s="35"/>
      <c r="E27" s="35"/>
      <c r="F27" s="28" t="str">
        <f>IF($A27="","",SUMIFS('2 Sản lượng theo ca'!$L$6:$L$505,'2 Sản lượng theo ca'!$F$6:$F$505,$A27,'2 Sản lượng theo ca'!$A$6:$A$505,"&lt;="&amp;$C$4))</f>
        <v/>
      </c>
      <c r="G27" s="28" t="str">
        <f t="shared" si="0"/>
        <v/>
      </c>
      <c r="H27" s="29" t="str">
        <f t="shared" si="1"/>
        <v/>
      </c>
      <c r="I27" s="30" t="str">
        <f>IF($A27="","",COUNTIFS('2 Sản lượng theo ca'!$F$6:$F$505,$A27,'2 Sản lượng theo ca'!$A$6:$A$505,"&lt;="&amp;$C$4))</f>
        <v/>
      </c>
      <c r="J27" s="28" t="str">
        <f t="shared" si="2"/>
        <v/>
      </c>
      <c r="K27" s="30" t="str">
        <f t="shared" si="3"/>
        <v/>
      </c>
      <c r="L27" s="30" t="str">
        <f t="shared" si="4"/>
        <v/>
      </c>
      <c r="M27" s="30" t="str">
        <f t="shared" si="5"/>
        <v/>
      </c>
    </row>
    <row r="28" spans="1:13" x14ac:dyDescent="0.2">
      <c r="A28" s="18"/>
      <c r="B28" s="21"/>
      <c r="C28" s="36"/>
      <c r="D28" s="35"/>
      <c r="E28" s="35"/>
      <c r="F28" s="28" t="str">
        <f>IF($A28="","",SUMIFS('2 Sản lượng theo ca'!$L$6:$L$505,'2 Sản lượng theo ca'!$F$6:$F$505,$A28,'2 Sản lượng theo ca'!$A$6:$A$505,"&lt;="&amp;$C$4))</f>
        <v/>
      </c>
      <c r="G28" s="28" t="str">
        <f t="shared" si="0"/>
        <v/>
      </c>
      <c r="H28" s="29" t="str">
        <f t="shared" si="1"/>
        <v/>
      </c>
      <c r="I28" s="30" t="str">
        <f>IF($A28="","",COUNTIFS('2 Sản lượng theo ca'!$F$6:$F$505,$A28,'2 Sản lượng theo ca'!$A$6:$A$505,"&lt;="&amp;$C$4))</f>
        <v/>
      </c>
      <c r="J28" s="28" t="str">
        <f t="shared" si="2"/>
        <v/>
      </c>
      <c r="K28" s="30" t="str">
        <f t="shared" si="3"/>
        <v/>
      </c>
      <c r="L28" s="30" t="str">
        <f t="shared" si="4"/>
        <v/>
      </c>
      <c r="M28" s="30" t="str">
        <f t="shared" si="5"/>
        <v/>
      </c>
    </row>
    <row r="29" spans="1:13" x14ac:dyDescent="0.2">
      <c r="A29" s="18"/>
      <c r="B29" s="21"/>
      <c r="C29" s="36"/>
      <c r="D29" s="35"/>
      <c r="E29" s="35"/>
      <c r="F29" s="28" t="str">
        <f>IF($A29="","",SUMIFS('2 Sản lượng theo ca'!$L$6:$L$505,'2 Sản lượng theo ca'!$F$6:$F$505,$A29,'2 Sản lượng theo ca'!$A$6:$A$505,"&lt;="&amp;$C$4))</f>
        <v/>
      </c>
      <c r="G29" s="28" t="str">
        <f t="shared" si="0"/>
        <v/>
      </c>
      <c r="H29" s="29" t="str">
        <f t="shared" si="1"/>
        <v/>
      </c>
      <c r="I29" s="30" t="str">
        <f>IF($A29="","",COUNTIFS('2 Sản lượng theo ca'!$F$6:$F$505,$A29,'2 Sản lượng theo ca'!$A$6:$A$505,"&lt;="&amp;$C$4))</f>
        <v/>
      </c>
      <c r="J29" s="28" t="str">
        <f t="shared" si="2"/>
        <v/>
      </c>
      <c r="K29" s="30" t="str">
        <f t="shared" si="3"/>
        <v/>
      </c>
      <c r="L29" s="30" t="str">
        <f t="shared" si="4"/>
        <v/>
      </c>
      <c r="M29" s="30" t="str">
        <f t="shared" si="5"/>
        <v/>
      </c>
    </row>
    <row r="30" spans="1:13" x14ac:dyDescent="0.2">
      <c r="A30" s="18"/>
      <c r="B30" s="21"/>
      <c r="C30" s="36"/>
      <c r="D30" s="35"/>
      <c r="E30" s="35"/>
      <c r="F30" s="28" t="str">
        <f>IF($A30="","",SUMIFS('2 Sản lượng theo ca'!$L$6:$L$505,'2 Sản lượng theo ca'!$F$6:$F$505,$A30,'2 Sản lượng theo ca'!$A$6:$A$505,"&lt;="&amp;$C$4))</f>
        <v/>
      </c>
      <c r="G30" s="28" t="str">
        <f t="shared" si="0"/>
        <v/>
      </c>
      <c r="H30" s="29" t="str">
        <f t="shared" si="1"/>
        <v/>
      </c>
      <c r="I30" s="30" t="str">
        <f>IF($A30="","",COUNTIFS('2 Sản lượng theo ca'!$F$6:$F$505,$A30,'2 Sản lượng theo ca'!$A$6:$A$505,"&lt;="&amp;$C$4))</f>
        <v/>
      </c>
      <c r="J30" s="28" t="str">
        <f t="shared" si="2"/>
        <v/>
      </c>
      <c r="K30" s="30" t="str">
        <f t="shared" si="3"/>
        <v/>
      </c>
      <c r="L30" s="30" t="str">
        <f t="shared" si="4"/>
        <v/>
      </c>
      <c r="M30" s="30" t="str">
        <f t="shared" si="5"/>
        <v/>
      </c>
    </row>
    <row r="31" spans="1:13" x14ac:dyDescent="0.2">
      <c r="A31" s="18"/>
      <c r="B31" s="21"/>
      <c r="C31" s="36"/>
      <c r="D31" s="35"/>
      <c r="E31" s="35"/>
      <c r="F31" s="28" t="str">
        <f>IF($A31="","",SUMIFS('2 Sản lượng theo ca'!$L$6:$L$505,'2 Sản lượng theo ca'!$F$6:$F$505,$A31,'2 Sản lượng theo ca'!$A$6:$A$505,"&lt;="&amp;$C$4))</f>
        <v/>
      </c>
      <c r="G31" s="28" t="str">
        <f t="shared" si="0"/>
        <v/>
      </c>
      <c r="H31" s="29" t="str">
        <f t="shared" si="1"/>
        <v/>
      </c>
      <c r="I31" s="30" t="str">
        <f>IF($A31="","",COUNTIFS('2 Sản lượng theo ca'!$F$6:$F$505,$A31,'2 Sản lượng theo ca'!$A$6:$A$505,"&lt;="&amp;$C$4))</f>
        <v/>
      </c>
      <c r="J31" s="28" t="str">
        <f t="shared" si="2"/>
        <v/>
      </c>
      <c r="K31" s="30" t="str">
        <f t="shared" si="3"/>
        <v/>
      </c>
      <c r="L31" s="30" t="str">
        <f t="shared" si="4"/>
        <v/>
      </c>
      <c r="M31" s="30" t="str">
        <f t="shared" si="5"/>
        <v/>
      </c>
    </row>
    <row r="32" spans="1:13" x14ac:dyDescent="0.2">
      <c r="A32" s="18"/>
      <c r="B32" s="21"/>
      <c r="C32" s="36"/>
      <c r="D32" s="35"/>
      <c r="E32" s="35"/>
      <c r="F32" s="28" t="str">
        <f>IF($A32="","",SUMIFS('2 Sản lượng theo ca'!$L$6:$L$505,'2 Sản lượng theo ca'!$F$6:$F$505,$A32,'2 Sản lượng theo ca'!$A$6:$A$505,"&lt;="&amp;$C$4))</f>
        <v/>
      </c>
      <c r="G32" s="28" t="str">
        <f t="shared" si="0"/>
        <v/>
      </c>
      <c r="H32" s="29" t="str">
        <f t="shared" si="1"/>
        <v/>
      </c>
      <c r="I32" s="30" t="str">
        <f>IF($A32="","",COUNTIFS('2 Sản lượng theo ca'!$F$6:$F$505,$A32,'2 Sản lượng theo ca'!$A$6:$A$505,"&lt;="&amp;$C$4))</f>
        <v/>
      </c>
      <c r="J32" s="28" t="str">
        <f t="shared" si="2"/>
        <v/>
      </c>
      <c r="K32" s="30" t="str">
        <f t="shared" si="3"/>
        <v/>
      </c>
      <c r="L32" s="30" t="str">
        <f t="shared" si="4"/>
        <v/>
      </c>
      <c r="M32" s="30" t="str">
        <f t="shared" si="5"/>
        <v/>
      </c>
    </row>
    <row r="33" spans="1:13" x14ac:dyDescent="0.2">
      <c r="A33" s="18"/>
      <c r="B33" s="21"/>
      <c r="C33" s="36"/>
      <c r="D33" s="35"/>
      <c r="E33" s="35"/>
      <c r="F33" s="28" t="str">
        <f>IF($A33="","",SUMIFS('2 Sản lượng theo ca'!$L$6:$L$505,'2 Sản lượng theo ca'!$F$6:$F$505,$A33,'2 Sản lượng theo ca'!$A$6:$A$505,"&lt;="&amp;$C$4))</f>
        <v/>
      </c>
      <c r="G33" s="28" t="str">
        <f t="shared" si="0"/>
        <v/>
      </c>
      <c r="H33" s="29" t="str">
        <f t="shared" si="1"/>
        <v/>
      </c>
      <c r="I33" s="30" t="str">
        <f>IF($A33="","",COUNTIFS('2 Sản lượng theo ca'!$F$6:$F$505,$A33,'2 Sản lượng theo ca'!$A$6:$A$505,"&lt;="&amp;$C$4))</f>
        <v/>
      </c>
      <c r="J33" s="28" t="str">
        <f t="shared" si="2"/>
        <v/>
      </c>
      <c r="K33" s="30" t="str">
        <f t="shared" si="3"/>
        <v/>
      </c>
      <c r="L33" s="30" t="str">
        <f t="shared" si="4"/>
        <v/>
      </c>
      <c r="M33" s="30" t="str">
        <f t="shared" si="5"/>
        <v/>
      </c>
    </row>
    <row r="34" spans="1:13" x14ac:dyDescent="0.2">
      <c r="A34" s="18"/>
      <c r="B34" s="21"/>
      <c r="C34" s="36"/>
      <c r="D34" s="35"/>
      <c r="E34" s="35"/>
      <c r="F34" s="28" t="str">
        <f>IF($A34="","",SUMIFS('2 Sản lượng theo ca'!$L$6:$L$505,'2 Sản lượng theo ca'!$F$6:$F$505,$A34,'2 Sản lượng theo ca'!$A$6:$A$505,"&lt;="&amp;$C$4))</f>
        <v/>
      </c>
      <c r="G34" s="28" t="str">
        <f t="shared" si="0"/>
        <v/>
      </c>
      <c r="H34" s="29" t="str">
        <f t="shared" si="1"/>
        <v/>
      </c>
      <c r="I34" s="30" t="str">
        <f>IF($A34="","",COUNTIFS('2 Sản lượng theo ca'!$F$6:$F$505,$A34,'2 Sản lượng theo ca'!$A$6:$A$505,"&lt;="&amp;$C$4))</f>
        <v/>
      </c>
      <c r="J34" s="28" t="str">
        <f t="shared" si="2"/>
        <v/>
      </c>
      <c r="K34" s="30" t="str">
        <f t="shared" si="3"/>
        <v/>
      </c>
      <c r="L34" s="30" t="str">
        <f t="shared" si="4"/>
        <v/>
      </c>
      <c r="M34" s="30" t="str">
        <f t="shared" si="5"/>
        <v/>
      </c>
    </row>
    <row r="35" spans="1:13" x14ac:dyDescent="0.2">
      <c r="A35" s="18"/>
      <c r="B35" s="21"/>
      <c r="C35" s="36"/>
      <c r="D35" s="35"/>
      <c r="E35" s="35"/>
      <c r="F35" s="28" t="str">
        <f>IF($A35="","",SUMIFS('2 Sản lượng theo ca'!$L$6:$L$505,'2 Sản lượng theo ca'!$F$6:$F$505,$A35,'2 Sản lượng theo ca'!$A$6:$A$505,"&lt;="&amp;$C$4))</f>
        <v/>
      </c>
      <c r="G35" s="28" t="str">
        <f t="shared" si="0"/>
        <v/>
      </c>
      <c r="H35" s="29" t="str">
        <f t="shared" si="1"/>
        <v/>
      </c>
      <c r="I35" s="30" t="str">
        <f>IF($A35="","",COUNTIFS('2 Sản lượng theo ca'!$F$6:$F$505,$A35,'2 Sản lượng theo ca'!$A$6:$A$505,"&lt;="&amp;$C$4))</f>
        <v/>
      </c>
      <c r="J35" s="28" t="str">
        <f t="shared" si="2"/>
        <v/>
      </c>
      <c r="K35" s="30" t="str">
        <f t="shared" si="3"/>
        <v/>
      </c>
      <c r="L35" s="30" t="str">
        <f t="shared" si="4"/>
        <v/>
      </c>
      <c r="M35" s="30" t="str">
        <f t="shared" si="5"/>
        <v/>
      </c>
    </row>
    <row r="36" spans="1:13" x14ac:dyDescent="0.2">
      <c r="A36" s="18"/>
      <c r="B36" s="21"/>
      <c r="C36" s="36"/>
      <c r="D36" s="35"/>
      <c r="E36" s="35"/>
      <c r="F36" s="28" t="str">
        <f>IF($A36="","",SUMIFS('2 Sản lượng theo ca'!$L$6:$L$505,'2 Sản lượng theo ca'!$F$6:$F$505,$A36,'2 Sản lượng theo ca'!$A$6:$A$505,"&lt;="&amp;$C$4))</f>
        <v/>
      </c>
      <c r="G36" s="28" t="str">
        <f t="shared" si="0"/>
        <v/>
      </c>
      <c r="H36" s="29" t="str">
        <f t="shared" si="1"/>
        <v/>
      </c>
      <c r="I36" s="30" t="str">
        <f>IF($A36="","",COUNTIFS('2 Sản lượng theo ca'!$F$6:$F$505,$A36,'2 Sản lượng theo ca'!$A$6:$A$505,"&lt;="&amp;$C$4))</f>
        <v/>
      </c>
      <c r="J36" s="28" t="str">
        <f t="shared" si="2"/>
        <v/>
      </c>
      <c r="K36" s="30" t="str">
        <f t="shared" si="3"/>
        <v/>
      </c>
      <c r="L36" s="30" t="str">
        <f t="shared" si="4"/>
        <v/>
      </c>
      <c r="M36" s="30" t="str">
        <f t="shared" si="5"/>
        <v/>
      </c>
    </row>
    <row r="37" spans="1:13" x14ac:dyDescent="0.2">
      <c r="A37" s="18"/>
      <c r="B37" s="21"/>
      <c r="C37" s="36"/>
      <c r="D37" s="35"/>
      <c r="E37" s="35"/>
      <c r="F37" s="28" t="str">
        <f>IF($A37="","",SUMIFS('2 Sản lượng theo ca'!$L$6:$L$505,'2 Sản lượng theo ca'!$F$6:$F$505,$A37,'2 Sản lượng theo ca'!$A$6:$A$505,"&lt;="&amp;$C$4))</f>
        <v/>
      </c>
      <c r="G37" s="28" t="str">
        <f t="shared" si="0"/>
        <v/>
      </c>
      <c r="H37" s="29" t="str">
        <f t="shared" si="1"/>
        <v/>
      </c>
      <c r="I37" s="30" t="str">
        <f>IF($A37="","",COUNTIFS('2 Sản lượng theo ca'!$F$6:$F$505,$A37,'2 Sản lượng theo ca'!$A$6:$A$505,"&lt;="&amp;$C$4))</f>
        <v/>
      </c>
      <c r="J37" s="28" t="str">
        <f t="shared" si="2"/>
        <v/>
      </c>
      <c r="K37" s="30" t="str">
        <f t="shared" si="3"/>
        <v/>
      </c>
      <c r="L37" s="30" t="str">
        <f t="shared" si="4"/>
        <v/>
      </c>
      <c r="M37" s="30" t="str">
        <f t="shared" si="5"/>
        <v/>
      </c>
    </row>
    <row r="38" spans="1:13" x14ac:dyDescent="0.2">
      <c r="A38" s="18"/>
      <c r="B38" s="21"/>
      <c r="C38" s="36"/>
      <c r="D38" s="35"/>
      <c r="E38" s="35"/>
      <c r="F38" s="28" t="str">
        <f>IF($A38="","",SUMIFS('2 Sản lượng theo ca'!$L$6:$L$505,'2 Sản lượng theo ca'!$F$6:$F$505,$A38,'2 Sản lượng theo ca'!$A$6:$A$505,"&lt;="&amp;$C$4))</f>
        <v/>
      </c>
      <c r="G38" s="28" t="str">
        <f t="shared" ref="G38:G69" si="6">IF($A38="","",MAX(0,C38-F38))</f>
        <v/>
      </c>
      <c r="H38" s="29" t="str">
        <f t="shared" ref="H38:H55" si="7">IF(OR($A38="",N(C38)&lt;=0),"",F38/C38)</f>
        <v/>
      </c>
      <c r="I38" s="30" t="str">
        <f>IF($A38="","",COUNTIFS('2 Sản lượng theo ca'!$F$6:$F$505,$A38,'2 Sản lượng theo ca'!$A$6:$A$505,"&lt;="&amp;$C$4))</f>
        <v/>
      </c>
      <c r="J38" s="28" t="str">
        <f t="shared" ref="J38:J69" si="8">IF(OR($A38="",N(I38)=0),"",F38/I38)</f>
        <v/>
      </c>
      <c r="K38" s="30" t="str">
        <f t="shared" ref="K38:K69" si="9">IF($A38="","",IF(G38=0,0,IF(J38="","",ROUNDUP(G38/J38,0))))</f>
        <v/>
      </c>
      <c r="L38" s="30" t="str">
        <f t="shared" ref="L38:L55" si="10">IF(OR($A38="",E38=""),"",MAX(0,NETWORKDAYS.INTL($C$4+1,E38,NGHI_TUAN))*COUNTA(DS_CA))</f>
        <v/>
      </c>
      <c r="M38" s="30" t="str">
        <f t="shared" ref="M38:M69" si="11">IF($A38="","",IF(G38=0,"Đã xong",IF(N(I38)=0,"Chưa chạy",IF(K38&lt;=L38,"Kịp","Nguy cơ trễ"))))</f>
        <v/>
      </c>
    </row>
    <row r="39" spans="1:13" x14ac:dyDescent="0.2">
      <c r="A39" s="18"/>
      <c r="B39" s="21"/>
      <c r="C39" s="36"/>
      <c r="D39" s="35"/>
      <c r="E39" s="35"/>
      <c r="F39" s="28" t="str">
        <f>IF($A39="","",SUMIFS('2 Sản lượng theo ca'!$L$6:$L$505,'2 Sản lượng theo ca'!$F$6:$F$505,$A39,'2 Sản lượng theo ca'!$A$6:$A$505,"&lt;="&amp;$C$4))</f>
        <v/>
      </c>
      <c r="G39" s="28" t="str">
        <f t="shared" si="6"/>
        <v/>
      </c>
      <c r="H39" s="29" t="str">
        <f t="shared" si="7"/>
        <v/>
      </c>
      <c r="I39" s="30" t="str">
        <f>IF($A39="","",COUNTIFS('2 Sản lượng theo ca'!$F$6:$F$505,$A39,'2 Sản lượng theo ca'!$A$6:$A$505,"&lt;="&amp;$C$4))</f>
        <v/>
      </c>
      <c r="J39" s="28" t="str">
        <f t="shared" si="8"/>
        <v/>
      </c>
      <c r="K39" s="30" t="str">
        <f t="shared" si="9"/>
        <v/>
      </c>
      <c r="L39" s="30" t="str">
        <f t="shared" si="10"/>
        <v/>
      </c>
      <c r="M39" s="30" t="str">
        <f t="shared" si="11"/>
        <v/>
      </c>
    </row>
    <row r="40" spans="1:13" x14ac:dyDescent="0.2">
      <c r="A40" s="18"/>
      <c r="B40" s="21"/>
      <c r="C40" s="36"/>
      <c r="D40" s="35"/>
      <c r="E40" s="35"/>
      <c r="F40" s="28" t="str">
        <f>IF($A40="","",SUMIFS('2 Sản lượng theo ca'!$L$6:$L$505,'2 Sản lượng theo ca'!$F$6:$F$505,$A40,'2 Sản lượng theo ca'!$A$6:$A$505,"&lt;="&amp;$C$4))</f>
        <v/>
      </c>
      <c r="G40" s="28" t="str">
        <f t="shared" si="6"/>
        <v/>
      </c>
      <c r="H40" s="29" t="str">
        <f t="shared" si="7"/>
        <v/>
      </c>
      <c r="I40" s="30" t="str">
        <f>IF($A40="","",COUNTIFS('2 Sản lượng theo ca'!$F$6:$F$505,$A40,'2 Sản lượng theo ca'!$A$6:$A$505,"&lt;="&amp;$C$4))</f>
        <v/>
      </c>
      <c r="J40" s="28" t="str">
        <f t="shared" si="8"/>
        <v/>
      </c>
      <c r="K40" s="30" t="str">
        <f t="shared" si="9"/>
        <v/>
      </c>
      <c r="L40" s="30" t="str">
        <f t="shared" si="10"/>
        <v/>
      </c>
      <c r="M40" s="30" t="str">
        <f t="shared" si="11"/>
        <v/>
      </c>
    </row>
    <row r="41" spans="1:13" x14ac:dyDescent="0.2">
      <c r="A41" s="18"/>
      <c r="B41" s="21"/>
      <c r="C41" s="36"/>
      <c r="D41" s="35"/>
      <c r="E41" s="35"/>
      <c r="F41" s="28" t="str">
        <f>IF($A41="","",SUMIFS('2 Sản lượng theo ca'!$L$6:$L$505,'2 Sản lượng theo ca'!$F$6:$F$505,$A41,'2 Sản lượng theo ca'!$A$6:$A$505,"&lt;="&amp;$C$4))</f>
        <v/>
      </c>
      <c r="G41" s="28" t="str">
        <f t="shared" si="6"/>
        <v/>
      </c>
      <c r="H41" s="29" t="str">
        <f t="shared" si="7"/>
        <v/>
      </c>
      <c r="I41" s="30" t="str">
        <f>IF($A41="","",COUNTIFS('2 Sản lượng theo ca'!$F$6:$F$505,$A41,'2 Sản lượng theo ca'!$A$6:$A$505,"&lt;="&amp;$C$4))</f>
        <v/>
      </c>
      <c r="J41" s="28" t="str">
        <f t="shared" si="8"/>
        <v/>
      </c>
      <c r="K41" s="30" t="str">
        <f t="shared" si="9"/>
        <v/>
      </c>
      <c r="L41" s="30" t="str">
        <f t="shared" si="10"/>
        <v/>
      </c>
      <c r="M41" s="30" t="str">
        <f t="shared" si="11"/>
        <v/>
      </c>
    </row>
    <row r="42" spans="1:13" x14ac:dyDescent="0.2">
      <c r="A42" s="18"/>
      <c r="B42" s="21"/>
      <c r="C42" s="36"/>
      <c r="D42" s="35"/>
      <c r="E42" s="35"/>
      <c r="F42" s="28" t="str">
        <f>IF($A42="","",SUMIFS('2 Sản lượng theo ca'!$L$6:$L$505,'2 Sản lượng theo ca'!$F$6:$F$505,$A42,'2 Sản lượng theo ca'!$A$6:$A$505,"&lt;="&amp;$C$4))</f>
        <v/>
      </c>
      <c r="G42" s="28" t="str">
        <f t="shared" si="6"/>
        <v/>
      </c>
      <c r="H42" s="29" t="str">
        <f t="shared" si="7"/>
        <v/>
      </c>
      <c r="I42" s="30" t="str">
        <f>IF($A42="","",COUNTIFS('2 Sản lượng theo ca'!$F$6:$F$505,$A42,'2 Sản lượng theo ca'!$A$6:$A$505,"&lt;="&amp;$C$4))</f>
        <v/>
      </c>
      <c r="J42" s="28" t="str">
        <f t="shared" si="8"/>
        <v/>
      </c>
      <c r="K42" s="30" t="str">
        <f t="shared" si="9"/>
        <v/>
      </c>
      <c r="L42" s="30" t="str">
        <f t="shared" si="10"/>
        <v/>
      </c>
      <c r="M42" s="30" t="str">
        <f t="shared" si="11"/>
        <v/>
      </c>
    </row>
    <row r="43" spans="1:13" x14ac:dyDescent="0.2">
      <c r="A43" s="18"/>
      <c r="B43" s="21"/>
      <c r="C43" s="36"/>
      <c r="D43" s="35"/>
      <c r="E43" s="35"/>
      <c r="F43" s="28" t="str">
        <f>IF($A43="","",SUMIFS('2 Sản lượng theo ca'!$L$6:$L$505,'2 Sản lượng theo ca'!$F$6:$F$505,$A43,'2 Sản lượng theo ca'!$A$6:$A$505,"&lt;="&amp;$C$4))</f>
        <v/>
      </c>
      <c r="G43" s="28" t="str">
        <f t="shared" si="6"/>
        <v/>
      </c>
      <c r="H43" s="29" t="str">
        <f t="shared" si="7"/>
        <v/>
      </c>
      <c r="I43" s="30" t="str">
        <f>IF($A43="","",COUNTIFS('2 Sản lượng theo ca'!$F$6:$F$505,$A43,'2 Sản lượng theo ca'!$A$6:$A$505,"&lt;="&amp;$C$4))</f>
        <v/>
      </c>
      <c r="J43" s="28" t="str">
        <f t="shared" si="8"/>
        <v/>
      </c>
      <c r="K43" s="30" t="str">
        <f t="shared" si="9"/>
        <v/>
      </c>
      <c r="L43" s="30" t="str">
        <f t="shared" si="10"/>
        <v/>
      </c>
      <c r="M43" s="30" t="str">
        <f t="shared" si="11"/>
        <v/>
      </c>
    </row>
    <row r="44" spans="1:13" x14ac:dyDescent="0.2">
      <c r="A44" s="18"/>
      <c r="B44" s="21"/>
      <c r="C44" s="36"/>
      <c r="D44" s="35"/>
      <c r="E44" s="35"/>
      <c r="F44" s="28" t="str">
        <f>IF($A44="","",SUMIFS('2 Sản lượng theo ca'!$L$6:$L$505,'2 Sản lượng theo ca'!$F$6:$F$505,$A44,'2 Sản lượng theo ca'!$A$6:$A$505,"&lt;="&amp;$C$4))</f>
        <v/>
      </c>
      <c r="G44" s="28" t="str">
        <f t="shared" si="6"/>
        <v/>
      </c>
      <c r="H44" s="29" t="str">
        <f t="shared" si="7"/>
        <v/>
      </c>
      <c r="I44" s="30" t="str">
        <f>IF($A44="","",COUNTIFS('2 Sản lượng theo ca'!$F$6:$F$505,$A44,'2 Sản lượng theo ca'!$A$6:$A$505,"&lt;="&amp;$C$4))</f>
        <v/>
      </c>
      <c r="J44" s="28" t="str">
        <f t="shared" si="8"/>
        <v/>
      </c>
      <c r="K44" s="30" t="str">
        <f t="shared" si="9"/>
        <v/>
      </c>
      <c r="L44" s="30" t="str">
        <f t="shared" si="10"/>
        <v/>
      </c>
      <c r="M44" s="30" t="str">
        <f t="shared" si="11"/>
        <v/>
      </c>
    </row>
    <row r="45" spans="1:13" x14ac:dyDescent="0.2">
      <c r="A45" s="18"/>
      <c r="B45" s="21"/>
      <c r="C45" s="36"/>
      <c r="D45" s="35"/>
      <c r="E45" s="35"/>
      <c r="F45" s="28" t="str">
        <f>IF($A45="","",SUMIFS('2 Sản lượng theo ca'!$L$6:$L$505,'2 Sản lượng theo ca'!$F$6:$F$505,$A45,'2 Sản lượng theo ca'!$A$6:$A$505,"&lt;="&amp;$C$4))</f>
        <v/>
      </c>
      <c r="G45" s="28" t="str">
        <f t="shared" si="6"/>
        <v/>
      </c>
      <c r="H45" s="29" t="str">
        <f t="shared" si="7"/>
        <v/>
      </c>
      <c r="I45" s="30" t="str">
        <f>IF($A45="","",COUNTIFS('2 Sản lượng theo ca'!$F$6:$F$505,$A45,'2 Sản lượng theo ca'!$A$6:$A$505,"&lt;="&amp;$C$4))</f>
        <v/>
      </c>
      <c r="J45" s="28" t="str">
        <f t="shared" si="8"/>
        <v/>
      </c>
      <c r="K45" s="30" t="str">
        <f t="shared" si="9"/>
        <v/>
      </c>
      <c r="L45" s="30" t="str">
        <f t="shared" si="10"/>
        <v/>
      </c>
      <c r="M45" s="30" t="str">
        <f t="shared" si="11"/>
        <v/>
      </c>
    </row>
    <row r="46" spans="1:13" x14ac:dyDescent="0.2">
      <c r="A46" s="18"/>
      <c r="B46" s="21"/>
      <c r="C46" s="36"/>
      <c r="D46" s="35"/>
      <c r="E46" s="35"/>
      <c r="F46" s="28" t="str">
        <f>IF($A46="","",SUMIFS('2 Sản lượng theo ca'!$L$6:$L$505,'2 Sản lượng theo ca'!$F$6:$F$505,$A46,'2 Sản lượng theo ca'!$A$6:$A$505,"&lt;="&amp;$C$4))</f>
        <v/>
      </c>
      <c r="G46" s="28" t="str">
        <f t="shared" si="6"/>
        <v/>
      </c>
      <c r="H46" s="29" t="str">
        <f t="shared" si="7"/>
        <v/>
      </c>
      <c r="I46" s="30" t="str">
        <f>IF($A46="","",COUNTIFS('2 Sản lượng theo ca'!$F$6:$F$505,$A46,'2 Sản lượng theo ca'!$A$6:$A$505,"&lt;="&amp;$C$4))</f>
        <v/>
      </c>
      <c r="J46" s="28" t="str">
        <f t="shared" si="8"/>
        <v/>
      </c>
      <c r="K46" s="30" t="str">
        <f t="shared" si="9"/>
        <v/>
      </c>
      <c r="L46" s="30" t="str">
        <f t="shared" si="10"/>
        <v/>
      </c>
      <c r="M46" s="30" t="str">
        <f t="shared" si="11"/>
        <v/>
      </c>
    </row>
    <row r="47" spans="1:13" x14ac:dyDescent="0.2">
      <c r="A47" s="18"/>
      <c r="B47" s="21"/>
      <c r="C47" s="36"/>
      <c r="D47" s="35"/>
      <c r="E47" s="35"/>
      <c r="F47" s="28" t="str">
        <f>IF($A47="","",SUMIFS('2 Sản lượng theo ca'!$L$6:$L$505,'2 Sản lượng theo ca'!$F$6:$F$505,$A47,'2 Sản lượng theo ca'!$A$6:$A$505,"&lt;="&amp;$C$4))</f>
        <v/>
      </c>
      <c r="G47" s="28" t="str">
        <f t="shared" si="6"/>
        <v/>
      </c>
      <c r="H47" s="29" t="str">
        <f t="shared" si="7"/>
        <v/>
      </c>
      <c r="I47" s="30" t="str">
        <f>IF($A47="","",COUNTIFS('2 Sản lượng theo ca'!$F$6:$F$505,$A47,'2 Sản lượng theo ca'!$A$6:$A$505,"&lt;="&amp;$C$4))</f>
        <v/>
      </c>
      <c r="J47" s="28" t="str">
        <f t="shared" si="8"/>
        <v/>
      </c>
      <c r="K47" s="30" t="str">
        <f t="shared" si="9"/>
        <v/>
      </c>
      <c r="L47" s="30" t="str">
        <f t="shared" si="10"/>
        <v/>
      </c>
      <c r="M47" s="30" t="str">
        <f t="shared" si="11"/>
        <v/>
      </c>
    </row>
    <row r="48" spans="1:13" x14ac:dyDescent="0.2">
      <c r="A48" s="18"/>
      <c r="B48" s="21"/>
      <c r="C48" s="36"/>
      <c r="D48" s="35"/>
      <c r="E48" s="35"/>
      <c r="F48" s="28" t="str">
        <f>IF($A48="","",SUMIFS('2 Sản lượng theo ca'!$L$6:$L$505,'2 Sản lượng theo ca'!$F$6:$F$505,$A48,'2 Sản lượng theo ca'!$A$6:$A$505,"&lt;="&amp;$C$4))</f>
        <v/>
      </c>
      <c r="G48" s="28" t="str">
        <f t="shared" si="6"/>
        <v/>
      </c>
      <c r="H48" s="29" t="str">
        <f t="shared" si="7"/>
        <v/>
      </c>
      <c r="I48" s="30" t="str">
        <f>IF($A48="","",COUNTIFS('2 Sản lượng theo ca'!$F$6:$F$505,$A48,'2 Sản lượng theo ca'!$A$6:$A$505,"&lt;="&amp;$C$4))</f>
        <v/>
      </c>
      <c r="J48" s="28" t="str">
        <f t="shared" si="8"/>
        <v/>
      </c>
      <c r="K48" s="30" t="str">
        <f t="shared" si="9"/>
        <v/>
      </c>
      <c r="L48" s="30" t="str">
        <f t="shared" si="10"/>
        <v/>
      </c>
      <c r="M48" s="30" t="str">
        <f t="shared" si="11"/>
        <v/>
      </c>
    </row>
    <row r="49" spans="1:13" x14ac:dyDescent="0.2">
      <c r="A49" s="18"/>
      <c r="B49" s="21"/>
      <c r="C49" s="36"/>
      <c r="D49" s="35"/>
      <c r="E49" s="35"/>
      <c r="F49" s="28" t="str">
        <f>IF($A49="","",SUMIFS('2 Sản lượng theo ca'!$L$6:$L$505,'2 Sản lượng theo ca'!$F$6:$F$505,$A49,'2 Sản lượng theo ca'!$A$6:$A$505,"&lt;="&amp;$C$4))</f>
        <v/>
      </c>
      <c r="G49" s="28" t="str">
        <f t="shared" si="6"/>
        <v/>
      </c>
      <c r="H49" s="29" t="str">
        <f t="shared" si="7"/>
        <v/>
      </c>
      <c r="I49" s="30" t="str">
        <f>IF($A49="","",COUNTIFS('2 Sản lượng theo ca'!$F$6:$F$505,$A49,'2 Sản lượng theo ca'!$A$6:$A$505,"&lt;="&amp;$C$4))</f>
        <v/>
      </c>
      <c r="J49" s="28" t="str">
        <f t="shared" si="8"/>
        <v/>
      </c>
      <c r="K49" s="30" t="str">
        <f t="shared" si="9"/>
        <v/>
      </c>
      <c r="L49" s="30" t="str">
        <f t="shared" si="10"/>
        <v/>
      </c>
      <c r="M49" s="30" t="str">
        <f t="shared" si="11"/>
        <v/>
      </c>
    </row>
    <row r="50" spans="1:13" x14ac:dyDescent="0.2">
      <c r="A50" s="18"/>
      <c r="B50" s="21"/>
      <c r="C50" s="36"/>
      <c r="D50" s="35"/>
      <c r="E50" s="35"/>
      <c r="F50" s="28" t="str">
        <f>IF($A50="","",SUMIFS('2 Sản lượng theo ca'!$L$6:$L$505,'2 Sản lượng theo ca'!$F$6:$F$505,$A50,'2 Sản lượng theo ca'!$A$6:$A$505,"&lt;="&amp;$C$4))</f>
        <v/>
      </c>
      <c r="G50" s="28" t="str">
        <f t="shared" si="6"/>
        <v/>
      </c>
      <c r="H50" s="29" t="str">
        <f t="shared" si="7"/>
        <v/>
      </c>
      <c r="I50" s="30" t="str">
        <f>IF($A50="","",COUNTIFS('2 Sản lượng theo ca'!$F$6:$F$505,$A50,'2 Sản lượng theo ca'!$A$6:$A$505,"&lt;="&amp;$C$4))</f>
        <v/>
      </c>
      <c r="J50" s="28" t="str">
        <f t="shared" si="8"/>
        <v/>
      </c>
      <c r="K50" s="30" t="str">
        <f t="shared" si="9"/>
        <v/>
      </c>
      <c r="L50" s="30" t="str">
        <f t="shared" si="10"/>
        <v/>
      </c>
      <c r="M50" s="30" t="str">
        <f t="shared" si="11"/>
        <v/>
      </c>
    </row>
    <row r="51" spans="1:13" x14ac:dyDescent="0.2">
      <c r="A51" s="18"/>
      <c r="B51" s="21"/>
      <c r="C51" s="36"/>
      <c r="D51" s="35"/>
      <c r="E51" s="35"/>
      <c r="F51" s="28" t="str">
        <f>IF($A51="","",SUMIFS('2 Sản lượng theo ca'!$L$6:$L$505,'2 Sản lượng theo ca'!$F$6:$F$505,$A51,'2 Sản lượng theo ca'!$A$6:$A$505,"&lt;="&amp;$C$4))</f>
        <v/>
      </c>
      <c r="G51" s="28" t="str">
        <f t="shared" si="6"/>
        <v/>
      </c>
      <c r="H51" s="29" t="str">
        <f t="shared" si="7"/>
        <v/>
      </c>
      <c r="I51" s="30" t="str">
        <f>IF($A51="","",COUNTIFS('2 Sản lượng theo ca'!$F$6:$F$505,$A51,'2 Sản lượng theo ca'!$A$6:$A$505,"&lt;="&amp;$C$4))</f>
        <v/>
      </c>
      <c r="J51" s="28" t="str">
        <f t="shared" si="8"/>
        <v/>
      </c>
      <c r="K51" s="30" t="str">
        <f t="shared" si="9"/>
        <v/>
      </c>
      <c r="L51" s="30" t="str">
        <f t="shared" si="10"/>
        <v/>
      </c>
      <c r="M51" s="30" t="str">
        <f t="shared" si="11"/>
        <v/>
      </c>
    </row>
    <row r="52" spans="1:13" x14ac:dyDescent="0.2">
      <c r="A52" s="18"/>
      <c r="B52" s="21"/>
      <c r="C52" s="36"/>
      <c r="D52" s="35"/>
      <c r="E52" s="35"/>
      <c r="F52" s="28" t="str">
        <f>IF($A52="","",SUMIFS('2 Sản lượng theo ca'!$L$6:$L$505,'2 Sản lượng theo ca'!$F$6:$F$505,$A52,'2 Sản lượng theo ca'!$A$6:$A$505,"&lt;="&amp;$C$4))</f>
        <v/>
      </c>
      <c r="G52" s="28" t="str">
        <f t="shared" si="6"/>
        <v/>
      </c>
      <c r="H52" s="29" t="str">
        <f t="shared" si="7"/>
        <v/>
      </c>
      <c r="I52" s="30" t="str">
        <f>IF($A52="","",COUNTIFS('2 Sản lượng theo ca'!$F$6:$F$505,$A52,'2 Sản lượng theo ca'!$A$6:$A$505,"&lt;="&amp;$C$4))</f>
        <v/>
      </c>
      <c r="J52" s="28" t="str">
        <f t="shared" si="8"/>
        <v/>
      </c>
      <c r="K52" s="30" t="str">
        <f t="shared" si="9"/>
        <v/>
      </c>
      <c r="L52" s="30" t="str">
        <f t="shared" si="10"/>
        <v/>
      </c>
      <c r="M52" s="30" t="str">
        <f t="shared" si="11"/>
        <v/>
      </c>
    </row>
    <row r="53" spans="1:13" x14ac:dyDescent="0.2">
      <c r="A53" s="18"/>
      <c r="B53" s="21"/>
      <c r="C53" s="36"/>
      <c r="D53" s="35"/>
      <c r="E53" s="35"/>
      <c r="F53" s="28" t="str">
        <f>IF($A53="","",SUMIFS('2 Sản lượng theo ca'!$L$6:$L$505,'2 Sản lượng theo ca'!$F$6:$F$505,$A53,'2 Sản lượng theo ca'!$A$6:$A$505,"&lt;="&amp;$C$4))</f>
        <v/>
      </c>
      <c r="G53" s="28" t="str">
        <f t="shared" si="6"/>
        <v/>
      </c>
      <c r="H53" s="29" t="str">
        <f t="shared" si="7"/>
        <v/>
      </c>
      <c r="I53" s="30" t="str">
        <f>IF($A53="","",COUNTIFS('2 Sản lượng theo ca'!$F$6:$F$505,$A53,'2 Sản lượng theo ca'!$A$6:$A$505,"&lt;="&amp;$C$4))</f>
        <v/>
      </c>
      <c r="J53" s="28" t="str">
        <f t="shared" si="8"/>
        <v/>
      </c>
      <c r="K53" s="30" t="str">
        <f t="shared" si="9"/>
        <v/>
      </c>
      <c r="L53" s="30" t="str">
        <f t="shared" si="10"/>
        <v/>
      </c>
      <c r="M53" s="30" t="str">
        <f t="shared" si="11"/>
        <v/>
      </c>
    </row>
    <row r="54" spans="1:13" x14ac:dyDescent="0.2">
      <c r="A54" s="18"/>
      <c r="B54" s="21"/>
      <c r="C54" s="36"/>
      <c r="D54" s="35"/>
      <c r="E54" s="35"/>
      <c r="F54" s="28" t="str">
        <f>IF($A54="","",SUMIFS('2 Sản lượng theo ca'!$L$6:$L$505,'2 Sản lượng theo ca'!$F$6:$F$505,$A54,'2 Sản lượng theo ca'!$A$6:$A$505,"&lt;="&amp;$C$4))</f>
        <v/>
      </c>
      <c r="G54" s="28" t="str">
        <f t="shared" si="6"/>
        <v/>
      </c>
      <c r="H54" s="29" t="str">
        <f t="shared" si="7"/>
        <v/>
      </c>
      <c r="I54" s="30" t="str">
        <f>IF($A54="","",COUNTIFS('2 Sản lượng theo ca'!$F$6:$F$505,$A54,'2 Sản lượng theo ca'!$A$6:$A$505,"&lt;="&amp;$C$4))</f>
        <v/>
      </c>
      <c r="J54" s="28" t="str">
        <f t="shared" si="8"/>
        <v/>
      </c>
      <c r="K54" s="30" t="str">
        <f t="shared" si="9"/>
        <v/>
      </c>
      <c r="L54" s="30" t="str">
        <f t="shared" si="10"/>
        <v/>
      </c>
      <c r="M54" s="30" t="str">
        <f t="shared" si="11"/>
        <v/>
      </c>
    </row>
    <row r="55" spans="1:13" x14ac:dyDescent="0.2">
      <c r="A55" s="18"/>
      <c r="B55" s="21"/>
      <c r="C55" s="36"/>
      <c r="D55" s="35"/>
      <c r="E55" s="35"/>
      <c r="F55" s="28" t="str">
        <f>IF($A55="","",SUMIFS('2 Sản lượng theo ca'!$L$6:$L$505,'2 Sản lượng theo ca'!$F$6:$F$505,$A55,'2 Sản lượng theo ca'!$A$6:$A$505,"&lt;="&amp;$C$4))</f>
        <v/>
      </c>
      <c r="G55" s="28" t="str">
        <f t="shared" si="6"/>
        <v/>
      </c>
      <c r="H55" s="29" t="str">
        <f t="shared" si="7"/>
        <v/>
      </c>
      <c r="I55" s="30" t="str">
        <f>IF($A55="","",COUNTIFS('2 Sản lượng theo ca'!$F$6:$F$505,$A55,'2 Sản lượng theo ca'!$A$6:$A$505,"&lt;="&amp;$C$4))</f>
        <v/>
      </c>
      <c r="J55" s="28" t="str">
        <f t="shared" si="8"/>
        <v/>
      </c>
      <c r="K55" s="30" t="str">
        <f t="shared" si="9"/>
        <v/>
      </c>
      <c r="L55" s="30" t="str">
        <f t="shared" si="10"/>
        <v/>
      </c>
      <c r="M55" s="30" t="str">
        <f t="shared" si="11"/>
        <v/>
      </c>
    </row>
  </sheetData>
  <conditionalFormatting sqref="M6:M55">
    <cfRule type="cellIs" dxfId="4" priority="1" operator="equal">
      <formula>"Nguy cơ trễ"</formula>
    </cfRule>
    <cfRule type="cellIs" dxfId="3" priority="2" operator="equal">
      <formula>"Kịp"</formula>
    </cfRule>
    <cfRule type="cellIs" dxfId="2" priority="3" operator="equal">
      <formula>"Đã xong"</formula>
    </cfRule>
  </conditionalFormatting>
  <dataValidations count="1">
    <dataValidation type="list" allowBlank="1" showErrorMessage="1" errorTitle="Không có trong danh sách" error="Chọn từ danh sách ở trang 1 Danh mục." sqref="B6:B55" xr:uid="{00000000-0002-0000-0400-000000000000}">
      <formula1>DS_MH</formula1>
    </dataValidation>
  </dataValidations>
  <hyperlinks>
    <hyperlink ref="A3" location="'Bắt đầu'!A1" display="← Về trang Bắt đầu" xr:uid="{00000000-0004-0000-0400-000000000000}"/>
  </hyperlinks>
  <pageMargins left="0.75" right="0.75" top="1" bottom="1"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5"/>
  <sheetViews>
    <sheetView showGridLines="0" workbookViewId="0"/>
  </sheetViews>
  <sheetFormatPr baseColWidth="10" defaultColWidth="8.83203125" defaultRowHeight="15" x14ac:dyDescent="0.2"/>
  <cols>
    <col min="1" max="1" width="13" customWidth="1"/>
    <col min="2" max="2" width="10" customWidth="1"/>
    <col min="3" max="3" width="9" customWidth="1"/>
    <col min="4" max="4" width="13" customWidth="1"/>
    <col min="5" max="6" width="10" customWidth="1"/>
    <col min="7" max="7" width="9" customWidth="1"/>
    <col min="8" max="9" width="10" customWidth="1"/>
    <col min="10" max="10" width="11" customWidth="1"/>
    <col min="11" max="11" width="8" customWidth="1"/>
    <col min="12" max="13" width="11" customWidth="1"/>
  </cols>
  <sheetData>
    <row r="1" spans="1:13" ht="18" x14ac:dyDescent="0.2">
      <c r="A1" s="9" t="s">
        <v>176</v>
      </c>
    </row>
    <row r="2" spans="1:13" x14ac:dyDescent="0.2">
      <c r="A2" s="2" t="s">
        <v>177</v>
      </c>
    </row>
    <row r="3" spans="1:13" x14ac:dyDescent="0.2">
      <c r="A3" s="10" t="s">
        <v>37</v>
      </c>
    </row>
    <row r="4" spans="1:13" x14ac:dyDescent="0.2">
      <c r="A4" s="22" t="s">
        <v>178</v>
      </c>
      <c r="B4" s="39">
        <v>46289</v>
      </c>
      <c r="C4" s="40" t="s">
        <v>179</v>
      </c>
      <c r="D4" s="41" t="s">
        <v>73</v>
      </c>
    </row>
    <row r="6" spans="1:13" ht="42" customHeight="1" x14ac:dyDescent="0.2">
      <c r="A6" s="12" t="s">
        <v>44</v>
      </c>
      <c r="B6" s="12" t="s">
        <v>128</v>
      </c>
      <c r="C6" s="12" t="s">
        <v>51</v>
      </c>
      <c r="D6" s="12" t="s">
        <v>180</v>
      </c>
      <c r="E6" s="12" t="s">
        <v>130</v>
      </c>
      <c r="F6" s="12" t="s">
        <v>181</v>
      </c>
      <c r="G6" s="12" t="s">
        <v>132</v>
      </c>
      <c r="H6" s="12" t="s">
        <v>135</v>
      </c>
      <c r="I6" s="12" t="s">
        <v>136</v>
      </c>
      <c r="J6" s="12" t="s">
        <v>140</v>
      </c>
      <c r="K6" s="12" t="s">
        <v>141</v>
      </c>
      <c r="L6" s="12" t="s">
        <v>143</v>
      </c>
      <c r="M6" s="12" t="s">
        <v>145</v>
      </c>
    </row>
    <row r="7" spans="1:13" x14ac:dyDescent="0.2">
      <c r="A7" s="33" t="str">
        <f>IF(INDEX(DS_MAY,1)="","",INDEX(DS_MAY,1))</f>
        <v>Máy tiện 1</v>
      </c>
      <c r="B7" s="42" t="str">
        <f>IF(OR($A7="",COUNTIFS('2 Sản lượng theo ca'!$A$6:$A$505,$B$4,'2 Sản lượng theo ca'!$B$6:$B$505,$D$4,'2 Sản lượng theo ca'!$C$6:$C$505,$A7)=0),"",IFERROR(INDEX('2 Sản lượng theo ca'!$D$6:$D$505,MATCH($B$4&amp;"|"&amp;$D$4&amp;"|"&amp;$A7,'2 Sản lượng theo ca'!$Y$6:$Y$505,0))&amp;"",""))</f>
        <v>NV-05</v>
      </c>
      <c r="C7" s="42" t="str">
        <f>IF(OR($A7="",COUNTIFS('2 Sản lượng theo ca'!$A$6:$A$505,$B$4,'2 Sản lượng theo ca'!$B$6:$B$505,$D$4,'2 Sản lượng theo ca'!$C$6:$C$505,$A7)=0),"",IFERROR(INDEX('2 Sản lượng theo ca'!$E$6:$E$505,MATCH($B$4&amp;"|"&amp;$D$4&amp;"|"&amp;$A7,'2 Sản lượng theo ca'!$Y$6:$Y$505,0))&amp;"",""))</f>
        <v>MH-A</v>
      </c>
      <c r="D7" s="42" t="str">
        <f>IF(OR($A7="",COUNTIFS('2 Sản lượng theo ca'!$A$6:$A$505,$B$4,'2 Sản lượng theo ca'!$B$6:$B$505,$D$4,'2 Sản lượng theo ca'!$C$6:$C$505,$A7)=0),"",IFERROR(INDEX('2 Sản lượng theo ca'!$F$6:$F$505,MATCH($B$4&amp;"|"&amp;$D$4&amp;"|"&amp;$A7,'2 Sản lượng theo ca'!$Y$6:$Y$505,0))&amp;"",""))</f>
        <v>LSX-2609-01</v>
      </c>
      <c r="E7" s="43">
        <f>IF(OR($A7="",COUNTIFS('2 Sản lượng theo ca'!$A$6:$A$505,$B$4,'2 Sản lượng theo ca'!$B$6:$B$505,$D$4,'2 Sản lượng theo ca'!$C$6:$C$505,$A7)=0),"",SUMIFS('2 Sản lượng theo ca'!$G$6:$G$505,'2 Sản lượng theo ca'!$A$6:$A$505,$B$4,'2 Sản lượng theo ca'!$B$6:$B$505,$D$4,'2 Sản lượng theo ca'!$C$6:$C$505,$A7))</f>
        <v>380</v>
      </c>
      <c r="F7" s="43">
        <f>IF(OR($A7="",COUNTIFS('2 Sản lượng theo ca'!$A$6:$A$505,$B$4,'2 Sản lượng theo ca'!$B$6:$B$505,$D$4,'2 Sản lượng theo ca'!$C$6:$C$505,$A7)=0),"",SUMIFS('2 Sản lượng theo ca'!$H$6:$H$505,'2 Sản lượng theo ca'!$A$6:$A$505,$B$4,'2 Sản lượng theo ca'!$B$6:$B$505,$D$4,'2 Sản lượng theo ca'!$C$6:$C$505,$A7))</f>
        <v>295</v>
      </c>
      <c r="G7" s="43">
        <f>IF(OR($A7="",COUNTIFS('2 Sản lượng theo ca'!$A$6:$A$505,$B$4,'2 Sản lượng theo ca'!$B$6:$B$505,$D$4,'2 Sản lượng theo ca'!$C$6:$C$505,$A7)=0),"",SUMIFS('2 Sản lượng theo ca'!$I$6:$I$505,'2 Sản lượng theo ca'!$A$6:$A$505,$B$4,'2 Sản lượng theo ca'!$B$6:$B$505,$D$4,'2 Sản lượng theo ca'!$C$6:$C$505,$A7))</f>
        <v>8</v>
      </c>
      <c r="H7" s="43">
        <f>IF(OR($A7="",COUNTIFS('2 Sản lượng theo ca'!$A$6:$A$505,$B$4,'2 Sản lượng theo ca'!$B$6:$B$505,$D$4,'2 Sản lượng theo ca'!$C$6:$C$505,$A7)=0),"",SUMIFS('2 Sản lượng theo ca'!$L$6:$L$505,'2 Sản lượng theo ca'!$A$6:$A$505,$B$4,'2 Sản lượng theo ca'!$B$6:$B$505,$D$4,'2 Sản lượng theo ca'!$C$6:$C$505,$A7))</f>
        <v>287</v>
      </c>
      <c r="I7" s="44">
        <f>IF(OR(OR($A7="",COUNTIFS('2 Sản lượng theo ca'!$A$6:$A$505,$B$4,'2 Sản lượng theo ca'!$B$6:$B$505,$D$4,'2 Sản lượng theo ca'!$C$6:$C$505,$A7)=0),N(E7)&lt;=0),"",H7/E7)</f>
        <v>0.75526315789473686</v>
      </c>
      <c r="J7" s="43">
        <f>IF(OR($A7="",COUNTIFS('2 Sản lượng theo ca'!$A$6:$A$505,$B$4,'2 Sản lượng theo ca'!$B$6:$B$505,$D$4,'2 Sản lượng theo ca'!$C$6:$C$505,$A7)=0),"",SUMIFS('2 Sản lượng theo ca'!$Q$6:$Q$505,'2 Sản lượng theo ca'!$A$6:$A$505,$B$4,'2 Sản lượng theo ca'!$B$6:$B$505,$D$4,'2 Sản lượng theo ca'!$C$6:$C$505,$A7))</f>
        <v>80</v>
      </c>
      <c r="K7" s="42">
        <f>IF(OR($A7="",COUNTIFS('2 Sản lượng theo ca'!$A$6:$A$505,$B$4,'2 Sản lượng theo ca'!$B$6:$B$505,$D$4,'2 Sản lượng theo ca'!$C$6:$C$505,$A7)=0),"",SUMIFS('2 Sản lượng theo ca'!$R$6:$R$505,'2 Sản lượng theo ca'!$A$6:$A$505,$B$4,'2 Sản lượng theo ca'!$B$6:$B$505,$D$4,'2 Sản lượng theo ca'!$C$6:$C$505,$A7))</f>
        <v>3</v>
      </c>
      <c r="L7" s="45">
        <f>IF(OR($A7="",COUNTIFS('2 Sản lượng theo ca'!$A$6:$A$505,$B$4,'2 Sản lượng theo ca'!$B$6:$B$505,$D$4,'2 Sản lượng theo ca'!$C$6:$C$505,$A7)=0),"",SUMIFS('2 Sản lượng theo ca'!$T$6:$T$505,'2 Sản lượng theo ca'!$A$6:$A$505,$B$4,'2 Sản lượng theo ca'!$B$6:$B$505,$D$4,'2 Sản lượng theo ca'!$C$6:$C$505,$A7))</f>
        <v>45</v>
      </c>
      <c r="M7" s="44">
        <f>IF(OR($A7="",COUNTIFS('2 Sản lượng theo ca'!$A$6:$A$505,$B$4,'2 Sản lượng theo ca'!$B$6:$B$505,$D$4,'2 Sản lượng theo ca'!$C$6:$C$505,$A7)=0),"",IFERROR(SUMIFS('2 Sản lượng theo ca'!$U$6:$U$505,'2 Sản lượng theo ca'!$A$6:$A$505,$B$4,'2 Sản lượng theo ca'!$B$6:$B$505,$D$4,'2 Sản lượng theo ca'!$C$6:$C$505,$A7)/SUMIFS('2 Sản lượng theo ca'!$P$6:$P$505,'2 Sản lượng theo ca'!$A$6:$A$505,$B$4,'2 Sản lượng theo ca'!$B$6:$B$505,$D$4,'2 Sản lượng theo ca'!$C$6:$C$505,$A7),""))</f>
        <v>0.68333333333333335</v>
      </c>
    </row>
    <row r="8" spans="1:13" x14ac:dyDescent="0.2">
      <c r="A8" s="33" t="str">
        <f>IF(INDEX(DS_MAY,2)="","",INDEX(DS_MAY,2))</f>
        <v>Máy tiện 2</v>
      </c>
      <c r="B8" s="42" t="str">
        <f>IF(OR($A8="",COUNTIFS('2 Sản lượng theo ca'!$A$6:$A$505,$B$4,'2 Sản lượng theo ca'!$B$6:$B$505,$D$4,'2 Sản lượng theo ca'!$C$6:$C$505,$A8)=0),"",IFERROR(INDEX('2 Sản lượng theo ca'!$D$6:$D$505,MATCH($B$4&amp;"|"&amp;$D$4&amp;"|"&amp;$A8,'2 Sản lượng theo ca'!$Y$6:$Y$505,0))&amp;"",""))</f>
        <v>NV-06</v>
      </c>
      <c r="C8" s="42" t="str">
        <f>IF(OR($A8="",COUNTIFS('2 Sản lượng theo ca'!$A$6:$A$505,$B$4,'2 Sản lượng theo ca'!$B$6:$B$505,$D$4,'2 Sản lượng theo ca'!$C$6:$C$505,$A8)=0),"",IFERROR(INDEX('2 Sản lượng theo ca'!$E$6:$E$505,MATCH($B$4&amp;"|"&amp;$D$4&amp;"|"&amp;$A8,'2 Sản lượng theo ca'!$Y$6:$Y$505,0))&amp;"",""))</f>
        <v>MH-B</v>
      </c>
      <c r="D8" s="42" t="str">
        <f>IF(OR($A8="",COUNTIFS('2 Sản lượng theo ca'!$A$6:$A$505,$B$4,'2 Sản lượng theo ca'!$B$6:$B$505,$D$4,'2 Sản lượng theo ca'!$C$6:$C$505,$A8)=0),"",IFERROR(INDEX('2 Sản lượng theo ca'!$F$6:$F$505,MATCH($B$4&amp;"|"&amp;$D$4&amp;"|"&amp;$A8,'2 Sản lượng theo ca'!$Y$6:$Y$505,0))&amp;"",""))</f>
        <v>LSX-2609-02</v>
      </c>
      <c r="E8" s="43">
        <f>IF(OR($A8="",COUNTIFS('2 Sản lượng theo ca'!$A$6:$A$505,$B$4,'2 Sản lượng theo ca'!$B$6:$B$505,$D$4,'2 Sản lượng theo ca'!$C$6:$C$505,$A8)=0),"",SUMIFS('2 Sản lượng theo ca'!$G$6:$G$505,'2 Sản lượng theo ca'!$A$6:$A$505,$B$4,'2 Sản lượng theo ca'!$B$6:$B$505,$D$4,'2 Sản lượng theo ca'!$C$6:$C$505,$A8))</f>
        <v>500</v>
      </c>
      <c r="F8" s="43">
        <f>IF(OR($A8="",COUNTIFS('2 Sản lượng theo ca'!$A$6:$A$505,$B$4,'2 Sản lượng theo ca'!$B$6:$B$505,$D$4,'2 Sản lượng theo ca'!$C$6:$C$505,$A8)=0),"",SUMIFS('2 Sản lượng theo ca'!$H$6:$H$505,'2 Sản lượng theo ca'!$A$6:$A$505,$B$4,'2 Sản lượng theo ca'!$B$6:$B$505,$D$4,'2 Sản lượng theo ca'!$C$6:$C$505,$A8))</f>
        <v>471</v>
      </c>
      <c r="G8" s="43">
        <f>IF(OR($A8="",COUNTIFS('2 Sản lượng theo ca'!$A$6:$A$505,$B$4,'2 Sản lượng theo ca'!$B$6:$B$505,$D$4,'2 Sản lượng theo ca'!$C$6:$C$505,$A8)=0),"",SUMIFS('2 Sản lượng theo ca'!$I$6:$I$505,'2 Sản lượng theo ca'!$A$6:$A$505,$B$4,'2 Sản lượng theo ca'!$B$6:$B$505,$D$4,'2 Sản lượng theo ca'!$C$6:$C$505,$A8))</f>
        <v>9</v>
      </c>
      <c r="H8" s="43">
        <f>IF(OR($A8="",COUNTIFS('2 Sản lượng theo ca'!$A$6:$A$505,$B$4,'2 Sản lượng theo ca'!$B$6:$B$505,$D$4,'2 Sản lượng theo ca'!$C$6:$C$505,$A8)=0),"",SUMIFS('2 Sản lượng theo ca'!$L$6:$L$505,'2 Sản lượng theo ca'!$A$6:$A$505,$B$4,'2 Sản lượng theo ca'!$B$6:$B$505,$D$4,'2 Sản lượng theo ca'!$C$6:$C$505,$A8))</f>
        <v>462</v>
      </c>
      <c r="I8" s="44">
        <f>IF(OR(OR($A8="",COUNTIFS('2 Sản lượng theo ca'!$A$6:$A$505,$B$4,'2 Sản lượng theo ca'!$B$6:$B$505,$D$4,'2 Sản lượng theo ca'!$C$6:$C$505,$A8)=0),N(E8)&lt;=0),"",H8/E8)</f>
        <v>0.92400000000000004</v>
      </c>
      <c r="J8" s="43">
        <f>IF(OR($A8="",COUNTIFS('2 Sản lượng theo ca'!$A$6:$A$505,$B$4,'2 Sản lượng theo ca'!$B$6:$B$505,$D$4,'2 Sản lượng theo ca'!$C$6:$C$505,$A8)=0),"",SUMIFS('2 Sản lượng theo ca'!$Q$6:$Q$505,'2 Sản lượng theo ca'!$A$6:$A$505,$B$4,'2 Sản lượng theo ca'!$B$6:$B$505,$D$4,'2 Sản lượng theo ca'!$C$6:$C$505,$A8))</f>
        <v>35</v>
      </c>
      <c r="K8" s="42">
        <f>IF(OR($A8="",COUNTIFS('2 Sản lượng theo ca'!$A$6:$A$505,$B$4,'2 Sản lượng theo ca'!$B$6:$B$505,$D$4,'2 Sản lượng theo ca'!$C$6:$C$505,$A8)=0),"",SUMIFS('2 Sản lượng theo ca'!$R$6:$R$505,'2 Sản lượng theo ca'!$A$6:$A$505,$B$4,'2 Sản lượng theo ca'!$B$6:$B$505,$D$4,'2 Sản lượng theo ca'!$C$6:$C$505,$A8))</f>
        <v>1</v>
      </c>
      <c r="L8" s="45">
        <f>IF(OR($A8="",COUNTIFS('2 Sản lượng theo ca'!$A$6:$A$505,$B$4,'2 Sản lượng theo ca'!$B$6:$B$505,$D$4,'2 Sản lượng theo ca'!$C$6:$C$505,$A8)=0),"",SUMIFS('2 Sản lượng theo ca'!$T$6:$T$505,'2 Sản lượng theo ca'!$A$6:$A$505,$B$4,'2 Sản lượng theo ca'!$B$6:$B$505,$D$4,'2 Sản lượng theo ca'!$C$6:$C$505,$A8))</f>
        <v>31.75</v>
      </c>
      <c r="M8" s="44">
        <f>IF(OR($A8="",COUNTIFS('2 Sản lượng theo ca'!$A$6:$A$505,$B$4,'2 Sản lượng theo ca'!$B$6:$B$505,$D$4,'2 Sản lượng theo ca'!$C$6:$C$505,$A8)=0),"",IFERROR(SUMIFS('2 Sản lượng theo ca'!$U$6:$U$505,'2 Sản lượng theo ca'!$A$6:$A$505,$B$4,'2 Sản lượng theo ca'!$B$6:$B$505,$D$4,'2 Sản lượng theo ca'!$C$6:$C$505,$A8)/SUMIFS('2 Sản lượng theo ca'!$P$6:$P$505,'2 Sản lượng theo ca'!$A$6:$A$505,$B$4,'2 Sản lượng theo ca'!$B$6:$B$505,$D$4,'2 Sản lượng theo ca'!$C$6:$C$505,$A8),""))</f>
        <v>0.82499999999999996</v>
      </c>
    </row>
    <row r="9" spans="1:13" x14ac:dyDescent="0.2">
      <c r="A9" s="33" t="str">
        <f>IF(INDEX(DS_MAY,3)="","",INDEX(DS_MAY,3))</f>
        <v>Máy phay 1</v>
      </c>
      <c r="B9" s="42" t="str">
        <f>IF(OR($A9="",COUNTIFS('2 Sản lượng theo ca'!$A$6:$A$505,$B$4,'2 Sản lượng theo ca'!$B$6:$B$505,$D$4,'2 Sản lượng theo ca'!$C$6:$C$505,$A9)=0),"",IFERROR(INDEX('2 Sản lượng theo ca'!$D$6:$D$505,MATCH($B$4&amp;"|"&amp;$D$4&amp;"|"&amp;$A9,'2 Sản lượng theo ca'!$Y$6:$Y$505,0))&amp;"",""))</f>
        <v>NV-07</v>
      </c>
      <c r="C9" s="42" t="str">
        <f>IF(OR($A9="",COUNTIFS('2 Sản lượng theo ca'!$A$6:$A$505,$B$4,'2 Sản lượng theo ca'!$B$6:$B$505,$D$4,'2 Sản lượng theo ca'!$C$6:$C$505,$A9)=0),"",IFERROR(INDEX('2 Sản lượng theo ca'!$E$6:$E$505,MATCH($B$4&amp;"|"&amp;$D$4&amp;"|"&amp;$A9,'2 Sản lượng theo ca'!$Y$6:$Y$505,0))&amp;"",""))</f>
        <v>MH-C</v>
      </c>
      <c r="D9" s="42" t="str">
        <f>IF(OR($A9="",COUNTIFS('2 Sản lượng theo ca'!$A$6:$A$505,$B$4,'2 Sản lượng theo ca'!$B$6:$B$505,$D$4,'2 Sản lượng theo ca'!$C$6:$C$505,$A9)=0),"",IFERROR(INDEX('2 Sản lượng theo ca'!$F$6:$F$505,MATCH($B$4&amp;"|"&amp;$D$4&amp;"|"&amp;$A9,'2 Sản lượng theo ca'!$Y$6:$Y$505,0))&amp;"",""))</f>
        <v>LSX-2609-03</v>
      </c>
      <c r="E9" s="43">
        <f>IF(OR($A9="",COUNTIFS('2 Sản lượng theo ca'!$A$6:$A$505,$B$4,'2 Sản lượng theo ca'!$B$6:$B$505,$D$4,'2 Sản lượng theo ca'!$C$6:$C$505,$A9)=0),"",SUMIFS('2 Sản lượng theo ca'!$G$6:$G$505,'2 Sản lượng theo ca'!$A$6:$A$505,$B$4,'2 Sản lượng theo ca'!$B$6:$B$505,$D$4,'2 Sản lượng theo ca'!$C$6:$C$505,$A9))</f>
        <v>250</v>
      </c>
      <c r="F9" s="43">
        <f>IF(OR($A9="",COUNTIFS('2 Sản lượng theo ca'!$A$6:$A$505,$B$4,'2 Sản lượng theo ca'!$B$6:$B$505,$D$4,'2 Sản lượng theo ca'!$C$6:$C$505,$A9)=0),"",SUMIFS('2 Sản lượng theo ca'!$H$6:$H$505,'2 Sản lượng theo ca'!$A$6:$A$505,$B$4,'2 Sản lượng theo ca'!$B$6:$B$505,$D$4,'2 Sản lượng theo ca'!$C$6:$C$505,$A9))</f>
        <v>211</v>
      </c>
      <c r="G9" s="43">
        <f>IF(OR($A9="",COUNTIFS('2 Sản lượng theo ca'!$A$6:$A$505,$B$4,'2 Sản lượng theo ca'!$B$6:$B$505,$D$4,'2 Sản lượng theo ca'!$C$6:$C$505,$A9)=0),"",SUMIFS('2 Sản lượng theo ca'!$I$6:$I$505,'2 Sản lượng theo ca'!$A$6:$A$505,$B$4,'2 Sản lượng theo ca'!$B$6:$B$505,$D$4,'2 Sản lượng theo ca'!$C$6:$C$505,$A9))</f>
        <v>4</v>
      </c>
      <c r="H9" s="43">
        <f>IF(OR($A9="",COUNTIFS('2 Sản lượng theo ca'!$A$6:$A$505,$B$4,'2 Sản lượng theo ca'!$B$6:$B$505,$D$4,'2 Sản lượng theo ca'!$C$6:$C$505,$A9)=0),"",SUMIFS('2 Sản lượng theo ca'!$L$6:$L$505,'2 Sản lượng theo ca'!$A$6:$A$505,$B$4,'2 Sản lượng theo ca'!$B$6:$B$505,$D$4,'2 Sản lượng theo ca'!$C$6:$C$505,$A9))</f>
        <v>207</v>
      </c>
      <c r="I9" s="44">
        <f>IF(OR(OR($A9="",COUNTIFS('2 Sản lượng theo ca'!$A$6:$A$505,$B$4,'2 Sản lượng theo ca'!$B$6:$B$505,$D$4,'2 Sản lượng theo ca'!$C$6:$C$505,$A9)=0),N(E9)&lt;=0),"",H9/E9)</f>
        <v>0.82799999999999996</v>
      </c>
      <c r="J9" s="43">
        <f>IF(OR($A9="",COUNTIFS('2 Sản lượng theo ca'!$A$6:$A$505,$B$4,'2 Sản lượng theo ca'!$B$6:$B$505,$D$4,'2 Sản lượng theo ca'!$C$6:$C$505,$A9)=0),"",SUMIFS('2 Sản lượng theo ca'!$Q$6:$Q$505,'2 Sản lượng theo ca'!$A$6:$A$505,$B$4,'2 Sản lượng theo ca'!$B$6:$B$505,$D$4,'2 Sản lượng theo ca'!$C$6:$C$505,$A9))</f>
        <v>45</v>
      </c>
      <c r="K9" s="42">
        <f>IF(OR($A9="",COUNTIFS('2 Sản lượng theo ca'!$A$6:$A$505,$B$4,'2 Sản lượng theo ca'!$B$6:$B$505,$D$4,'2 Sản lượng theo ca'!$C$6:$C$505,$A9)=0),"",SUMIFS('2 Sản lượng theo ca'!$R$6:$R$505,'2 Sản lượng theo ca'!$A$6:$A$505,$B$4,'2 Sản lượng theo ca'!$B$6:$B$505,$D$4,'2 Sản lượng theo ca'!$C$6:$C$505,$A9))</f>
        <v>1</v>
      </c>
      <c r="L9" s="45">
        <f>IF(OR($A9="",COUNTIFS('2 Sản lượng theo ca'!$A$6:$A$505,$B$4,'2 Sản lượng theo ca'!$B$6:$B$505,$D$4,'2 Sản lượng theo ca'!$C$6:$C$505,$A9)=0),"",SUMIFS('2 Sản lượng theo ca'!$T$6:$T$505,'2 Sản lượng theo ca'!$A$6:$A$505,$B$4,'2 Sản lượng theo ca'!$B$6:$B$505,$D$4,'2 Sản lượng theo ca'!$C$6:$C$505,$A9))</f>
        <v>58.5</v>
      </c>
      <c r="M9" s="44">
        <f>IF(OR($A9="",COUNTIFS('2 Sản lượng theo ca'!$A$6:$A$505,$B$4,'2 Sản lượng theo ca'!$B$6:$B$505,$D$4,'2 Sản lượng theo ca'!$C$6:$C$505,$A9)=0),"",IFERROR(SUMIFS('2 Sản lượng theo ca'!$U$6:$U$505,'2 Sản lượng theo ca'!$A$6:$A$505,$B$4,'2 Sản lượng theo ca'!$B$6:$B$505,$D$4,'2 Sản lượng theo ca'!$C$6:$C$505,$A9)/SUMIFS('2 Sản lượng theo ca'!$P$6:$P$505,'2 Sản lượng theo ca'!$A$6:$A$505,$B$4,'2 Sản lượng theo ca'!$B$6:$B$505,$D$4,'2 Sản lượng theo ca'!$C$6:$C$505,$A9),""))</f>
        <v>0.73928571428571432</v>
      </c>
    </row>
    <row r="10" spans="1:13" x14ac:dyDescent="0.2">
      <c r="A10" s="33" t="str">
        <f>IF(INDEX(DS_MAY,4)="","",INDEX(DS_MAY,4))</f>
        <v>Máy dập 1</v>
      </c>
      <c r="B10" s="42" t="str">
        <f>IF(OR($A10="",COUNTIFS('2 Sản lượng theo ca'!$A$6:$A$505,$B$4,'2 Sản lượng theo ca'!$B$6:$B$505,$D$4,'2 Sản lượng theo ca'!$C$6:$C$505,$A10)=0),"",IFERROR(INDEX('2 Sản lượng theo ca'!$D$6:$D$505,MATCH($B$4&amp;"|"&amp;$D$4&amp;"|"&amp;$A10,'2 Sản lượng theo ca'!$Y$6:$Y$505,0))&amp;"",""))</f>
        <v>NV-08</v>
      </c>
      <c r="C10" s="42" t="str">
        <f>IF(OR($A10="",COUNTIFS('2 Sản lượng theo ca'!$A$6:$A$505,$B$4,'2 Sản lượng theo ca'!$B$6:$B$505,$D$4,'2 Sản lượng theo ca'!$C$6:$C$505,$A10)=0),"",IFERROR(INDEX('2 Sản lượng theo ca'!$E$6:$E$505,MATCH($B$4&amp;"|"&amp;$D$4&amp;"|"&amp;$A10,'2 Sản lượng theo ca'!$Y$6:$Y$505,0))&amp;"",""))</f>
        <v>MH-E</v>
      </c>
      <c r="D10" s="42" t="str">
        <f>IF(OR($A10="",COUNTIFS('2 Sản lượng theo ca'!$A$6:$A$505,$B$4,'2 Sản lượng theo ca'!$B$6:$B$505,$D$4,'2 Sản lượng theo ca'!$C$6:$C$505,$A10)=0),"",IFERROR(INDEX('2 Sản lượng theo ca'!$F$6:$F$505,MATCH($B$4&amp;"|"&amp;$D$4&amp;"|"&amp;$A10,'2 Sản lượng theo ca'!$Y$6:$Y$505,0))&amp;"",""))</f>
        <v>LSX-2609-05</v>
      </c>
      <c r="E10" s="43">
        <f>IF(OR($A10="",COUNTIFS('2 Sản lượng theo ca'!$A$6:$A$505,$B$4,'2 Sản lượng theo ca'!$B$6:$B$505,$D$4,'2 Sản lượng theo ca'!$C$6:$C$505,$A10)=0),"",SUMIFS('2 Sản lượng theo ca'!$G$6:$G$505,'2 Sản lượng theo ca'!$A$6:$A$505,$B$4,'2 Sản lượng theo ca'!$B$6:$B$505,$D$4,'2 Sản lượng theo ca'!$C$6:$C$505,$A10))</f>
        <v>1450</v>
      </c>
      <c r="F10" s="43">
        <f>IF(OR($A10="",COUNTIFS('2 Sản lượng theo ca'!$A$6:$A$505,$B$4,'2 Sản lượng theo ca'!$B$6:$B$505,$D$4,'2 Sản lượng theo ca'!$C$6:$C$505,$A10)=0),"",SUMIFS('2 Sản lượng theo ca'!$H$6:$H$505,'2 Sản lượng theo ca'!$A$6:$A$505,$B$4,'2 Sản lượng theo ca'!$B$6:$B$505,$D$4,'2 Sản lượng theo ca'!$C$6:$C$505,$A10))</f>
        <v>2043</v>
      </c>
      <c r="G10" s="43">
        <f>IF(OR($A10="",COUNTIFS('2 Sản lượng theo ca'!$A$6:$A$505,$B$4,'2 Sản lượng theo ca'!$B$6:$B$505,$D$4,'2 Sản lượng theo ca'!$C$6:$C$505,$A10)=0),"",SUMIFS('2 Sản lượng theo ca'!$I$6:$I$505,'2 Sản lượng theo ca'!$A$6:$A$505,$B$4,'2 Sản lượng theo ca'!$B$6:$B$505,$D$4,'2 Sản lượng theo ca'!$C$6:$C$505,$A10))</f>
        <v>30</v>
      </c>
      <c r="H10" s="43">
        <f>IF(OR($A10="",COUNTIFS('2 Sản lượng theo ca'!$A$6:$A$505,$B$4,'2 Sản lượng theo ca'!$B$6:$B$505,$D$4,'2 Sản lượng theo ca'!$C$6:$C$505,$A10)=0),"",SUMIFS('2 Sản lượng theo ca'!$L$6:$L$505,'2 Sản lượng theo ca'!$A$6:$A$505,$B$4,'2 Sản lượng theo ca'!$B$6:$B$505,$D$4,'2 Sản lượng theo ca'!$C$6:$C$505,$A10))</f>
        <v>2013</v>
      </c>
      <c r="I10" s="44">
        <f>IF(OR(OR($A10="",COUNTIFS('2 Sản lượng theo ca'!$A$6:$A$505,$B$4,'2 Sản lượng theo ca'!$B$6:$B$505,$D$4,'2 Sản lượng theo ca'!$C$6:$C$505,$A10)=0),N(E10)&lt;=0),"",H10/E10)</f>
        <v>1.3882758620689655</v>
      </c>
      <c r="J10" s="43">
        <f>IF(OR($A10="",COUNTIFS('2 Sản lượng theo ca'!$A$6:$A$505,$B$4,'2 Sản lượng theo ca'!$B$6:$B$505,$D$4,'2 Sản lượng theo ca'!$C$6:$C$505,$A10)=0),"",SUMIFS('2 Sản lượng theo ca'!$Q$6:$Q$505,'2 Sản lượng theo ca'!$A$6:$A$505,$B$4,'2 Sản lượng theo ca'!$B$6:$B$505,$D$4,'2 Sản lượng theo ca'!$C$6:$C$505,$A10))</f>
        <v>8</v>
      </c>
      <c r="K10" s="42">
        <f>IF(OR($A10="",COUNTIFS('2 Sản lượng theo ca'!$A$6:$A$505,$B$4,'2 Sản lượng theo ca'!$B$6:$B$505,$D$4,'2 Sản lượng theo ca'!$C$6:$C$505,$A10)=0),"",SUMIFS('2 Sản lượng theo ca'!$R$6:$R$505,'2 Sản lượng theo ca'!$A$6:$A$505,$B$4,'2 Sản lượng theo ca'!$B$6:$B$505,$D$4,'2 Sản lượng theo ca'!$C$6:$C$505,$A10))</f>
        <v>1</v>
      </c>
      <c r="L10" s="45">
        <f>IF(OR($A10="",COUNTIFS('2 Sản lượng theo ca'!$A$6:$A$505,$B$4,'2 Sản lượng theo ca'!$B$6:$B$505,$D$4,'2 Sản lượng theo ca'!$C$6:$C$505,$A10)=0),"",SUMIFS('2 Sản lượng theo ca'!$T$6:$T$505,'2 Sản lượng theo ca'!$A$6:$A$505,$B$4,'2 Sản lượng theo ca'!$B$6:$B$505,$D$4,'2 Sản lượng theo ca'!$C$6:$C$505,$A10))</f>
        <v>-98.75</v>
      </c>
      <c r="M10" s="44">
        <f>IF(OR($A10="",COUNTIFS('2 Sản lượng theo ca'!$A$6:$A$505,$B$4,'2 Sản lượng theo ca'!$B$6:$B$505,$D$4,'2 Sản lượng theo ca'!$C$6:$C$505,$A10)=0),"",IFERROR(SUMIFS('2 Sản lượng theo ca'!$U$6:$U$505,'2 Sản lượng theo ca'!$A$6:$A$505,$B$4,'2 Sản lượng theo ca'!$B$6:$B$505,$D$4,'2 Sản lượng theo ca'!$C$6:$C$505,$A10)/SUMIFS('2 Sản lượng theo ca'!$P$6:$P$505,'2 Sản lượng theo ca'!$A$6:$A$505,$B$4,'2 Sản lượng theo ca'!$B$6:$B$505,$D$4,'2 Sản lượng theo ca'!$C$6:$C$505,$A10),""))</f>
        <v>1.1982142857142857</v>
      </c>
    </row>
    <row r="11" spans="1:13" x14ac:dyDescent="0.2">
      <c r="A11" s="33" t="str">
        <f>IF(INDEX(DS_MAY,5)="","",INDEX(DS_MAY,5))</f>
        <v/>
      </c>
      <c r="B11" s="42" t="str">
        <f>IF(OR($A11="",COUNTIFS('2 Sản lượng theo ca'!$A$6:$A$505,$B$4,'2 Sản lượng theo ca'!$B$6:$B$505,$D$4,'2 Sản lượng theo ca'!$C$6:$C$505,$A11)=0),"",IFERROR(INDEX('2 Sản lượng theo ca'!$D$6:$D$505,MATCH($B$4&amp;"|"&amp;$D$4&amp;"|"&amp;$A11,'2 Sản lượng theo ca'!$Y$6:$Y$505,0))&amp;"",""))</f>
        <v/>
      </c>
      <c r="C11" s="42" t="str">
        <f>IF(OR($A11="",COUNTIFS('2 Sản lượng theo ca'!$A$6:$A$505,$B$4,'2 Sản lượng theo ca'!$B$6:$B$505,$D$4,'2 Sản lượng theo ca'!$C$6:$C$505,$A11)=0),"",IFERROR(INDEX('2 Sản lượng theo ca'!$E$6:$E$505,MATCH($B$4&amp;"|"&amp;$D$4&amp;"|"&amp;$A11,'2 Sản lượng theo ca'!$Y$6:$Y$505,0))&amp;"",""))</f>
        <v/>
      </c>
      <c r="D11" s="42" t="str">
        <f>IF(OR($A11="",COUNTIFS('2 Sản lượng theo ca'!$A$6:$A$505,$B$4,'2 Sản lượng theo ca'!$B$6:$B$505,$D$4,'2 Sản lượng theo ca'!$C$6:$C$505,$A11)=0),"",IFERROR(INDEX('2 Sản lượng theo ca'!$F$6:$F$505,MATCH($B$4&amp;"|"&amp;$D$4&amp;"|"&amp;$A11,'2 Sản lượng theo ca'!$Y$6:$Y$505,0))&amp;"",""))</f>
        <v/>
      </c>
      <c r="E11" s="43" t="str">
        <f>IF(OR($A11="",COUNTIFS('2 Sản lượng theo ca'!$A$6:$A$505,$B$4,'2 Sản lượng theo ca'!$B$6:$B$505,$D$4,'2 Sản lượng theo ca'!$C$6:$C$505,$A11)=0),"",SUMIFS('2 Sản lượng theo ca'!$G$6:$G$505,'2 Sản lượng theo ca'!$A$6:$A$505,$B$4,'2 Sản lượng theo ca'!$B$6:$B$505,$D$4,'2 Sản lượng theo ca'!$C$6:$C$505,$A11))</f>
        <v/>
      </c>
      <c r="F11" s="43" t="str">
        <f>IF(OR($A11="",COUNTIFS('2 Sản lượng theo ca'!$A$6:$A$505,$B$4,'2 Sản lượng theo ca'!$B$6:$B$505,$D$4,'2 Sản lượng theo ca'!$C$6:$C$505,$A11)=0),"",SUMIFS('2 Sản lượng theo ca'!$H$6:$H$505,'2 Sản lượng theo ca'!$A$6:$A$505,$B$4,'2 Sản lượng theo ca'!$B$6:$B$505,$D$4,'2 Sản lượng theo ca'!$C$6:$C$505,$A11))</f>
        <v/>
      </c>
      <c r="G11" s="43" t="str">
        <f>IF(OR($A11="",COUNTIFS('2 Sản lượng theo ca'!$A$6:$A$505,$B$4,'2 Sản lượng theo ca'!$B$6:$B$505,$D$4,'2 Sản lượng theo ca'!$C$6:$C$505,$A11)=0),"",SUMIFS('2 Sản lượng theo ca'!$I$6:$I$505,'2 Sản lượng theo ca'!$A$6:$A$505,$B$4,'2 Sản lượng theo ca'!$B$6:$B$505,$D$4,'2 Sản lượng theo ca'!$C$6:$C$505,$A11))</f>
        <v/>
      </c>
      <c r="H11" s="43" t="str">
        <f>IF(OR($A11="",COUNTIFS('2 Sản lượng theo ca'!$A$6:$A$505,$B$4,'2 Sản lượng theo ca'!$B$6:$B$505,$D$4,'2 Sản lượng theo ca'!$C$6:$C$505,$A11)=0),"",SUMIFS('2 Sản lượng theo ca'!$L$6:$L$505,'2 Sản lượng theo ca'!$A$6:$A$505,$B$4,'2 Sản lượng theo ca'!$B$6:$B$505,$D$4,'2 Sản lượng theo ca'!$C$6:$C$505,$A11))</f>
        <v/>
      </c>
      <c r="I11" s="44" t="str">
        <f>IF(OR(OR($A11="",COUNTIFS('2 Sản lượng theo ca'!$A$6:$A$505,$B$4,'2 Sản lượng theo ca'!$B$6:$B$505,$D$4,'2 Sản lượng theo ca'!$C$6:$C$505,$A11)=0),N(E11)&lt;=0),"",H11/E11)</f>
        <v/>
      </c>
      <c r="J11" s="43" t="str">
        <f>IF(OR($A11="",COUNTIFS('2 Sản lượng theo ca'!$A$6:$A$505,$B$4,'2 Sản lượng theo ca'!$B$6:$B$505,$D$4,'2 Sản lượng theo ca'!$C$6:$C$505,$A11)=0),"",SUMIFS('2 Sản lượng theo ca'!$Q$6:$Q$505,'2 Sản lượng theo ca'!$A$6:$A$505,$B$4,'2 Sản lượng theo ca'!$B$6:$B$505,$D$4,'2 Sản lượng theo ca'!$C$6:$C$505,$A11))</f>
        <v/>
      </c>
      <c r="K11" s="42" t="str">
        <f>IF(OR($A11="",COUNTIFS('2 Sản lượng theo ca'!$A$6:$A$505,$B$4,'2 Sản lượng theo ca'!$B$6:$B$505,$D$4,'2 Sản lượng theo ca'!$C$6:$C$505,$A11)=0),"",SUMIFS('2 Sản lượng theo ca'!$R$6:$R$505,'2 Sản lượng theo ca'!$A$6:$A$505,$B$4,'2 Sản lượng theo ca'!$B$6:$B$505,$D$4,'2 Sản lượng theo ca'!$C$6:$C$505,$A11))</f>
        <v/>
      </c>
      <c r="L11" s="45" t="str">
        <f>IF(OR($A11="",COUNTIFS('2 Sản lượng theo ca'!$A$6:$A$505,$B$4,'2 Sản lượng theo ca'!$B$6:$B$505,$D$4,'2 Sản lượng theo ca'!$C$6:$C$505,$A11)=0),"",SUMIFS('2 Sản lượng theo ca'!$T$6:$T$505,'2 Sản lượng theo ca'!$A$6:$A$505,$B$4,'2 Sản lượng theo ca'!$B$6:$B$505,$D$4,'2 Sản lượng theo ca'!$C$6:$C$505,$A11))</f>
        <v/>
      </c>
      <c r="M11" s="44" t="str">
        <f>IF(OR($A11="",COUNTIFS('2 Sản lượng theo ca'!$A$6:$A$505,$B$4,'2 Sản lượng theo ca'!$B$6:$B$505,$D$4,'2 Sản lượng theo ca'!$C$6:$C$505,$A11)=0),"",IFERROR(SUMIFS('2 Sản lượng theo ca'!$U$6:$U$505,'2 Sản lượng theo ca'!$A$6:$A$505,$B$4,'2 Sản lượng theo ca'!$B$6:$B$505,$D$4,'2 Sản lượng theo ca'!$C$6:$C$505,$A11)/SUMIFS('2 Sản lượng theo ca'!$P$6:$P$505,'2 Sản lượng theo ca'!$A$6:$A$505,$B$4,'2 Sản lượng theo ca'!$B$6:$B$505,$D$4,'2 Sản lượng theo ca'!$C$6:$C$505,$A11),""))</f>
        <v/>
      </c>
    </row>
    <row r="12" spans="1:13" x14ac:dyDescent="0.2">
      <c r="A12" s="33" t="str">
        <f>IF(INDEX(DS_MAY,6)="","",INDEX(DS_MAY,6))</f>
        <v/>
      </c>
      <c r="B12" s="42" t="str">
        <f>IF(OR($A12="",COUNTIFS('2 Sản lượng theo ca'!$A$6:$A$505,$B$4,'2 Sản lượng theo ca'!$B$6:$B$505,$D$4,'2 Sản lượng theo ca'!$C$6:$C$505,$A12)=0),"",IFERROR(INDEX('2 Sản lượng theo ca'!$D$6:$D$505,MATCH($B$4&amp;"|"&amp;$D$4&amp;"|"&amp;$A12,'2 Sản lượng theo ca'!$Y$6:$Y$505,0))&amp;"",""))</f>
        <v/>
      </c>
      <c r="C12" s="42" t="str">
        <f>IF(OR($A12="",COUNTIFS('2 Sản lượng theo ca'!$A$6:$A$505,$B$4,'2 Sản lượng theo ca'!$B$6:$B$505,$D$4,'2 Sản lượng theo ca'!$C$6:$C$505,$A12)=0),"",IFERROR(INDEX('2 Sản lượng theo ca'!$E$6:$E$505,MATCH($B$4&amp;"|"&amp;$D$4&amp;"|"&amp;$A12,'2 Sản lượng theo ca'!$Y$6:$Y$505,0))&amp;"",""))</f>
        <v/>
      </c>
      <c r="D12" s="42" t="str">
        <f>IF(OR($A12="",COUNTIFS('2 Sản lượng theo ca'!$A$6:$A$505,$B$4,'2 Sản lượng theo ca'!$B$6:$B$505,$D$4,'2 Sản lượng theo ca'!$C$6:$C$505,$A12)=0),"",IFERROR(INDEX('2 Sản lượng theo ca'!$F$6:$F$505,MATCH($B$4&amp;"|"&amp;$D$4&amp;"|"&amp;$A12,'2 Sản lượng theo ca'!$Y$6:$Y$505,0))&amp;"",""))</f>
        <v/>
      </c>
      <c r="E12" s="43" t="str">
        <f>IF(OR($A12="",COUNTIFS('2 Sản lượng theo ca'!$A$6:$A$505,$B$4,'2 Sản lượng theo ca'!$B$6:$B$505,$D$4,'2 Sản lượng theo ca'!$C$6:$C$505,$A12)=0),"",SUMIFS('2 Sản lượng theo ca'!$G$6:$G$505,'2 Sản lượng theo ca'!$A$6:$A$505,$B$4,'2 Sản lượng theo ca'!$B$6:$B$505,$D$4,'2 Sản lượng theo ca'!$C$6:$C$505,$A12))</f>
        <v/>
      </c>
      <c r="F12" s="43" t="str">
        <f>IF(OR($A12="",COUNTIFS('2 Sản lượng theo ca'!$A$6:$A$505,$B$4,'2 Sản lượng theo ca'!$B$6:$B$505,$D$4,'2 Sản lượng theo ca'!$C$6:$C$505,$A12)=0),"",SUMIFS('2 Sản lượng theo ca'!$H$6:$H$505,'2 Sản lượng theo ca'!$A$6:$A$505,$B$4,'2 Sản lượng theo ca'!$B$6:$B$505,$D$4,'2 Sản lượng theo ca'!$C$6:$C$505,$A12))</f>
        <v/>
      </c>
      <c r="G12" s="43" t="str">
        <f>IF(OR($A12="",COUNTIFS('2 Sản lượng theo ca'!$A$6:$A$505,$B$4,'2 Sản lượng theo ca'!$B$6:$B$505,$D$4,'2 Sản lượng theo ca'!$C$6:$C$505,$A12)=0),"",SUMIFS('2 Sản lượng theo ca'!$I$6:$I$505,'2 Sản lượng theo ca'!$A$6:$A$505,$B$4,'2 Sản lượng theo ca'!$B$6:$B$505,$D$4,'2 Sản lượng theo ca'!$C$6:$C$505,$A12))</f>
        <v/>
      </c>
      <c r="H12" s="43" t="str">
        <f>IF(OR($A12="",COUNTIFS('2 Sản lượng theo ca'!$A$6:$A$505,$B$4,'2 Sản lượng theo ca'!$B$6:$B$505,$D$4,'2 Sản lượng theo ca'!$C$6:$C$505,$A12)=0),"",SUMIFS('2 Sản lượng theo ca'!$L$6:$L$505,'2 Sản lượng theo ca'!$A$6:$A$505,$B$4,'2 Sản lượng theo ca'!$B$6:$B$505,$D$4,'2 Sản lượng theo ca'!$C$6:$C$505,$A12))</f>
        <v/>
      </c>
      <c r="I12" s="44" t="str">
        <f>IF(OR(OR($A12="",COUNTIFS('2 Sản lượng theo ca'!$A$6:$A$505,$B$4,'2 Sản lượng theo ca'!$B$6:$B$505,$D$4,'2 Sản lượng theo ca'!$C$6:$C$505,$A12)=0),N(E12)&lt;=0),"",H12/E12)</f>
        <v/>
      </c>
      <c r="J12" s="43" t="str">
        <f>IF(OR($A12="",COUNTIFS('2 Sản lượng theo ca'!$A$6:$A$505,$B$4,'2 Sản lượng theo ca'!$B$6:$B$505,$D$4,'2 Sản lượng theo ca'!$C$6:$C$505,$A12)=0),"",SUMIFS('2 Sản lượng theo ca'!$Q$6:$Q$505,'2 Sản lượng theo ca'!$A$6:$A$505,$B$4,'2 Sản lượng theo ca'!$B$6:$B$505,$D$4,'2 Sản lượng theo ca'!$C$6:$C$505,$A12))</f>
        <v/>
      </c>
      <c r="K12" s="42" t="str">
        <f>IF(OR($A12="",COUNTIFS('2 Sản lượng theo ca'!$A$6:$A$505,$B$4,'2 Sản lượng theo ca'!$B$6:$B$505,$D$4,'2 Sản lượng theo ca'!$C$6:$C$505,$A12)=0),"",SUMIFS('2 Sản lượng theo ca'!$R$6:$R$505,'2 Sản lượng theo ca'!$A$6:$A$505,$B$4,'2 Sản lượng theo ca'!$B$6:$B$505,$D$4,'2 Sản lượng theo ca'!$C$6:$C$505,$A12))</f>
        <v/>
      </c>
      <c r="L12" s="45" t="str">
        <f>IF(OR($A12="",COUNTIFS('2 Sản lượng theo ca'!$A$6:$A$505,$B$4,'2 Sản lượng theo ca'!$B$6:$B$505,$D$4,'2 Sản lượng theo ca'!$C$6:$C$505,$A12)=0),"",SUMIFS('2 Sản lượng theo ca'!$T$6:$T$505,'2 Sản lượng theo ca'!$A$6:$A$505,$B$4,'2 Sản lượng theo ca'!$B$6:$B$505,$D$4,'2 Sản lượng theo ca'!$C$6:$C$505,$A12))</f>
        <v/>
      </c>
      <c r="M12" s="44" t="str">
        <f>IF(OR($A12="",COUNTIFS('2 Sản lượng theo ca'!$A$6:$A$505,$B$4,'2 Sản lượng theo ca'!$B$6:$B$505,$D$4,'2 Sản lượng theo ca'!$C$6:$C$505,$A12)=0),"",IFERROR(SUMIFS('2 Sản lượng theo ca'!$U$6:$U$505,'2 Sản lượng theo ca'!$A$6:$A$505,$B$4,'2 Sản lượng theo ca'!$B$6:$B$505,$D$4,'2 Sản lượng theo ca'!$C$6:$C$505,$A12)/SUMIFS('2 Sản lượng theo ca'!$P$6:$P$505,'2 Sản lượng theo ca'!$A$6:$A$505,$B$4,'2 Sản lượng theo ca'!$B$6:$B$505,$D$4,'2 Sản lượng theo ca'!$C$6:$C$505,$A12),""))</f>
        <v/>
      </c>
    </row>
    <row r="13" spans="1:13" x14ac:dyDescent="0.2">
      <c r="A13" s="33" t="str">
        <f>IF(INDEX(DS_MAY,7)="","",INDEX(DS_MAY,7))</f>
        <v/>
      </c>
      <c r="B13" s="42" t="str">
        <f>IF(OR($A13="",COUNTIFS('2 Sản lượng theo ca'!$A$6:$A$505,$B$4,'2 Sản lượng theo ca'!$B$6:$B$505,$D$4,'2 Sản lượng theo ca'!$C$6:$C$505,$A13)=0),"",IFERROR(INDEX('2 Sản lượng theo ca'!$D$6:$D$505,MATCH($B$4&amp;"|"&amp;$D$4&amp;"|"&amp;$A13,'2 Sản lượng theo ca'!$Y$6:$Y$505,0))&amp;"",""))</f>
        <v/>
      </c>
      <c r="C13" s="42" t="str">
        <f>IF(OR($A13="",COUNTIFS('2 Sản lượng theo ca'!$A$6:$A$505,$B$4,'2 Sản lượng theo ca'!$B$6:$B$505,$D$4,'2 Sản lượng theo ca'!$C$6:$C$505,$A13)=0),"",IFERROR(INDEX('2 Sản lượng theo ca'!$E$6:$E$505,MATCH($B$4&amp;"|"&amp;$D$4&amp;"|"&amp;$A13,'2 Sản lượng theo ca'!$Y$6:$Y$505,0))&amp;"",""))</f>
        <v/>
      </c>
      <c r="D13" s="42" t="str">
        <f>IF(OR($A13="",COUNTIFS('2 Sản lượng theo ca'!$A$6:$A$505,$B$4,'2 Sản lượng theo ca'!$B$6:$B$505,$D$4,'2 Sản lượng theo ca'!$C$6:$C$505,$A13)=0),"",IFERROR(INDEX('2 Sản lượng theo ca'!$F$6:$F$505,MATCH($B$4&amp;"|"&amp;$D$4&amp;"|"&amp;$A13,'2 Sản lượng theo ca'!$Y$6:$Y$505,0))&amp;"",""))</f>
        <v/>
      </c>
      <c r="E13" s="43" t="str">
        <f>IF(OR($A13="",COUNTIFS('2 Sản lượng theo ca'!$A$6:$A$505,$B$4,'2 Sản lượng theo ca'!$B$6:$B$505,$D$4,'2 Sản lượng theo ca'!$C$6:$C$505,$A13)=0),"",SUMIFS('2 Sản lượng theo ca'!$G$6:$G$505,'2 Sản lượng theo ca'!$A$6:$A$505,$B$4,'2 Sản lượng theo ca'!$B$6:$B$505,$D$4,'2 Sản lượng theo ca'!$C$6:$C$505,$A13))</f>
        <v/>
      </c>
      <c r="F13" s="43" t="str">
        <f>IF(OR($A13="",COUNTIFS('2 Sản lượng theo ca'!$A$6:$A$505,$B$4,'2 Sản lượng theo ca'!$B$6:$B$505,$D$4,'2 Sản lượng theo ca'!$C$6:$C$505,$A13)=0),"",SUMIFS('2 Sản lượng theo ca'!$H$6:$H$505,'2 Sản lượng theo ca'!$A$6:$A$505,$B$4,'2 Sản lượng theo ca'!$B$6:$B$505,$D$4,'2 Sản lượng theo ca'!$C$6:$C$505,$A13))</f>
        <v/>
      </c>
      <c r="G13" s="43" t="str">
        <f>IF(OR($A13="",COUNTIFS('2 Sản lượng theo ca'!$A$6:$A$505,$B$4,'2 Sản lượng theo ca'!$B$6:$B$505,$D$4,'2 Sản lượng theo ca'!$C$6:$C$505,$A13)=0),"",SUMIFS('2 Sản lượng theo ca'!$I$6:$I$505,'2 Sản lượng theo ca'!$A$6:$A$505,$B$4,'2 Sản lượng theo ca'!$B$6:$B$505,$D$4,'2 Sản lượng theo ca'!$C$6:$C$505,$A13))</f>
        <v/>
      </c>
      <c r="H13" s="43" t="str">
        <f>IF(OR($A13="",COUNTIFS('2 Sản lượng theo ca'!$A$6:$A$505,$B$4,'2 Sản lượng theo ca'!$B$6:$B$505,$D$4,'2 Sản lượng theo ca'!$C$6:$C$505,$A13)=0),"",SUMIFS('2 Sản lượng theo ca'!$L$6:$L$505,'2 Sản lượng theo ca'!$A$6:$A$505,$B$4,'2 Sản lượng theo ca'!$B$6:$B$505,$D$4,'2 Sản lượng theo ca'!$C$6:$C$505,$A13))</f>
        <v/>
      </c>
      <c r="I13" s="44" t="str">
        <f>IF(OR(OR($A13="",COUNTIFS('2 Sản lượng theo ca'!$A$6:$A$505,$B$4,'2 Sản lượng theo ca'!$B$6:$B$505,$D$4,'2 Sản lượng theo ca'!$C$6:$C$505,$A13)=0),N(E13)&lt;=0),"",H13/E13)</f>
        <v/>
      </c>
      <c r="J13" s="43" t="str">
        <f>IF(OR($A13="",COUNTIFS('2 Sản lượng theo ca'!$A$6:$A$505,$B$4,'2 Sản lượng theo ca'!$B$6:$B$505,$D$4,'2 Sản lượng theo ca'!$C$6:$C$505,$A13)=0),"",SUMIFS('2 Sản lượng theo ca'!$Q$6:$Q$505,'2 Sản lượng theo ca'!$A$6:$A$505,$B$4,'2 Sản lượng theo ca'!$B$6:$B$505,$D$4,'2 Sản lượng theo ca'!$C$6:$C$505,$A13))</f>
        <v/>
      </c>
      <c r="K13" s="42" t="str">
        <f>IF(OR($A13="",COUNTIFS('2 Sản lượng theo ca'!$A$6:$A$505,$B$4,'2 Sản lượng theo ca'!$B$6:$B$505,$D$4,'2 Sản lượng theo ca'!$C$6:$C$505,$A13)=0),"",SUMIFS('2 Sản lượng theo ca'!$R$6:$R$505,'2 Sản lượng theo ca'!$A$6:$A$505,$B$4,'2 Sản lượng theo ca'!$B$6:$B$505,$D$4,'2 Sản lượng theo ca'!$C$6:$C$505,$A13))</f>
        <v/>
      </c>
      <c r="L13" s="45" t="str">
        <f>IF(OR($A13="",COUNTIFS('2 Sản lượng theo ca'!$A$6:$A$505,$B$4,'2 Sản lượng theo ca'!$B$6:$B$505,$D$4,'2 Sản lượng theo ca'!$C$6:$C$505,$A13)=0),"",SUMIFS('2 Sản lượng theo ca'!$T$6:$T$505,'2 Sản lượng theo ca'!$A$6:$A$505,$B$4,'2 Sản lượng theo ca'!$B$6:$B$505,$D$4,'2 Sản lượng theo ca'!$C$6:$C$505,$A13))</f>
        <v/>
      </c>
      <c r="M13" s="44" t="str">
        <f>IF(OR($A13="",COUNTIFS('2 Sản lượng theo ca'!$A$6:$A$505,$B$4,'2 Sản lượng theo ca'!$B$6:$B$505,$D$4,'2 Sản lượng theo ca'!$C$6:$C$505,$A13)=0),"",IFERROR(SUMIFS('2 Sản lượng theo ca'!$U$6:$U$505,'2 Sản lượng theo ca'!$A$6:$A$505,$B$4,'2 Sản lượng theo ca'!$B$6:$B$505,$D$4,'2 Sản lượng theo ca'!$C$6:$C$505,$A13)/SUMIFS('2 Sản lượng theo ca'!$P$6:$P$505,'2 Sản lượng theo ca'!$A$6:$A$505,$B$4,'2 Sản lượng theo ca'!$B$6:$B$505,$D$4,'2 Sản lượng theo ca'!$C$6:$C$505,$A13),""))</f>
        <v/>
      </c>
    </row>
    <row r="14" spans="1:13" x14ac:dyDescent="0.2">
      <c r="A14" s="33" t="str">
        <f>IF(INDEX(DS_MAY,8)="","",INDEX(DS_MAY,8))</f>
        <v/>
      </c>
      <c r="B14" s="42" t="str">
        <f>IF(OR($A14="",COUNTIFS('2 Sản lượng theo ca'!$A$6:$A$505,$B$4,'2 Sản lượng theo ca'!$B$6:$B$505,$D$4,'2 Sản lượng theo ca'!$C$6:$C$505,$A14)=0),"",IFERROR(INDEX('2 Sản lượng theo ca'!$D$6:$D$505,MATCH($B$4&amp;"|"&amp;$D$4&amp;"|"&amp;$A14,'2 Sản lượng theo ca'!$Y$6:$Y$505,0))&amp;"",""))</f>
        <v/>
      </c>
      <c r="C14" s="42" t="str">
        <f>IF(OR($A14="",COUNTIFS('2 Sản lượng theo ca'!$A$6:$A$505,$B$4,'2 Sản lượng theo ca'!$B$6:$B$505,$D$4,'2 Sản lượng theo ca'!$C$6:$C$505,$A14)=0),"",IFERROR(INDEX('2 Sản lượng theo ca'!$E$6:$E$505,MATCH($B$4&amp;"|"&amp;$D$4&amp;"|"&amp;$A14,'2 Sản lượng theo ca'!$Y$6:$Y$505,0))&amp;"",""))</f>
        <v/>
      </c>
      <c r="D14" s="42" t="str">
        <f>IF(OR($A14="",COUNTIFS('2 Sản lượng theo ca'!$A$6:$A$505,$B$4,'2 Sản lượng theo ca'!$B$6:$B$505,$D$4,'2 Sản lượng theo ca'!$C$6:$C$505,$A14)=0),"",IFERROR(INDEX('2 Sản lượng theo ca'!$F$6:$F$505,MATCH($B$4&amp;"|"&amp;$D$4&amp;"|"&amp;$A14,'2 Sản lượng theo ca'!$Y$6:$Y$505,0))&amp;"",""))</f>
        <v/>
      </c>
      <c r="E14" s="43" t="str">
        <f>IF(OR($A14="",COUNTIFS('2 Sản lượng theo ca'!$A$6:$A$505,$B$4,'2 Sản lượng theo ca'!$B$6:$B$505,$D$4,'2 Sản lượng theo ca'!$C$6:$C$505,$A14)=0),"",SUMIFS('2 Sản lượng theo ca'!$G$6:$G$505,'2 Sản lượng theo ca'!$A$6:$A$505,$B$4,'2 Sản lượng theo ca'!$B$6:$B$505,$D$4,'2 Sản lượng theo ca'!$C$6:$C$505,$A14))</f>
        <v/>
      </c>
      <c r="F14" s="43" t="str">
        <f>IF(OR($A14="",COUNTIFS('2 Sản lượng theo ca'!$A$6:$A$505,$B$4,'2 Sản lượng theo ca'!$B$6:$B$505,$D$4,'2 Sản lượng theo ca'!$C$6:$C$505,$A14)=0),"",SUMIFS('2 Sản lượng theo ca'!$H$6:$H$505,'2 Sản lượng theo ca'!$A$6:$A$505,$B$4,'2 Sản lượng theo ca'!$B$6:$B$505,$D$4,'2 Sản lượng theo ca'!$C$6:$C$505,$A14))</f>
        <v/>
      </c>
      <c r="G14" s="43" t="str">
        <f>IF(OR($A14="",COUNTIFS('2 Sản lượng theo ca'!$A$6:$A$505,$B$4,'2 Sản lượng theo ca'!$B$6:$B$505,$D$4,'2 Sản lượng theo ca'!$C$6:$C$505,$A14)=0),"",SUMIFS('2 Sản lượng theo ca'!$I$6:$I$505,'2 Sản lượng theo ca'!$A$6:$A$505,$B$4,'2 Sản lượng theo ca'!$B$6:$B$505,$D$4,'2 Sản lượng theo ca'!$C$6:$C$505,$A14))</f>
        <v/>
      </c>
      <c r="H14" s="43" t="str">
        <f>IF(OR($A14="",COUNTIFS('2 Sản lượng theo ca'!$A$6:$A$505,$B$4,'2 Sản lượng theo ca'!$B$6:$B$505,$D$4,'2 Sản lượng theo ca'!$C$6:$C$505,$A14)=0),"",SUMIFS('2 Sản lượng theo ca'!$L$6:$L$505,'2 Sản lượng theo ca'!$A$6:$A$505,$B$4,'2 Sản lượng theo ca'!$B$6:$B$505,$D$4,'2 Sản lượng theo ca'!$C$6:$C$505,$A14))</f>
        <v/>
      </c>
      <c r="I14" s="44" t="str">
        <f>IF(OR(OR($A14="",COUNTIFS('2 Sản lượng theo ca'!$A$6:$A$505,$B$4,'2 Sản lượng theo ca'!$B$6:$B$505,$D$4,'2 Sản lượng theo ca'!$C$6:$C$505,$A14)=0),N(E14)&lt;=0),"",H14/E14)</f>
        <v/>
      </c>
      <c r="J14" s="43" t="str">
        <f>IF(OR($A14="",COUNTIFS('2 Sản lượng theo ca'!$A$6:$A$505,$B$4,'2 Sản lượng theo ca'!$B$6:$B$505,$D$4,'2 Sản lượng theo ca'!$C$6:$C$505,$A14)=0),"",SUMIFS('2 Sản lượng theo ca'!$Q$6:$Q$505,'2 Sản lượng theo ca'!$A$6:$A$505,$B$4,'2 Sản lượng theo ca'!$B$6:$B$505,$D$4,'2 Sản lượng theo ca'!$C$6:$C$505,$A14))</f>
        <v/>
      </c>
      <c r="K14" s="42" t="str">
        <f>IF(OR($A14="",COUNTIFS('2 Sản lượng theo ca'!$A$6:$A$505,$B$4,'2 Sản lượng theo ca'!$B$6:$B$505,$D$4,'2 Sản lượng theo ca'!$C$6:$C$505,$A14)=0),"",SUMIFS('2 Sản lượng theo ca'!$R$6:$R$505,'2 Sản lượng theo ca'!$A$6:$A$505,$B$4,'2 Sản lượng theo ca'!$B$6:$B$505,$D$4,'2 Sản lượng theo ca'!$C$6:$C$505,$A14))</f>
        <v/>
      </c>
      <c r="L14" s="45" t="str">
        <f>IF(OR($A14="",COUNTIFS('2 Sản lượng theo ca'!$A$6:$A$505,$B$4,'2 Sản lượng theo ca'!$B$6:$B$505,$D$4,'2 Sản lượng theo ca'!$C$6:$C$505,$A14)=0),"",SUMIFS('2 Sản lượng theo ca'!$T$6:$T$505,'2 Sản lượng theo ca'!$A$6:$A$505,$B$4,'2 Sản lượng theo ca'!$B$6:$B$505,$D$4,'2 Sản lượng theo ca'!$C$6:$C$505,$A14))</f>
        <v/>
      </c>
      <c r="M14" s="44" t="str">
        <f>IF(OR($A14="",COUNTIFS('2 Sản lượng theo ca'!$A$6:$A$505,$B$4,'2 Sản lượng theo ca'!$B$6:$B$505,$D$4,'2 Sản lượng theo ca'!$C$6:$C$505,$A14)=0),"",IFERROR(SUMIFS('2 Sản lượng theo ca'!$U$6:$U$505,'2 Sản lượng theo ca'!$A$6:$A$505,$B$4,'2 Sản lượng theo ca'!$B$6:$B$505,$D$4,'2 Sản lượng theo ca'!$C$6:$C$505,$A14)/SUMIFS('2 Sản lượng theo ca'!$P$6:$P$505,'2 Sản lượng theo ca'!$A$6:$A$505,$B$4,'2 Sản lượng theo ca'!$B$6:$B$505,$D$4,'2 Sản lượng theo ca'!$C$6:$C$505,$A14),""))</f>
        <v/>
      </c>
    </row>
    <row r="15" spans="1:13" x14ac:dyDescent="0.2">
      <c r="A15" s="33" t="str">
        <f>IF(INDEX(DS_MAY,9)="","",INDEX(DS_MAY,9))</f>
        <v/>
      </c>
      <c r="B15" s="42" t="str">
        <f>IF(OR($A15="",COUNTIFS('2 Sản lượng theo ca'!$A$6:$A$505,$B$4,'2 Sản lượng theo ca'!$B$6:$B$505,$D$4,'2 Sản lượng theo ca'!$C$6:$C$505,$A15)=0),"",IFERROR(INDEX('2 Sản lượng theo ca'!$D$6:$D$505,MATCH($B$4&amp;"|"&amp;$D$4&amp;"|"&amp;$A15,'2 Sản lượng theo ca'!$Y$6:$Y$505,0))&amp;"",""))</f>
        <v/>
      </c>
      <c r="C15" s="42" t="str">
        <f>IF(OR($A15="",COUNTIFS('2 Sản lượng theo ca'!$A$6:$A$505,$B$4,'2 Sản lượng theo ca'!$B$6:$B$505,$D$4,'2 Sản lượng theo ca'!$C$6:$C$505,$A15)=0),"",IFERROR(INDEX('2 Sản lượng theo ca'!$E$6:$E$505,MATCH($B$4&amp;"|"&amp;$D$4&amp;"|"&amp;$A15,'2 Sản lượng theo ca'!$Y$6:$Y$505,0))&amp;"",""))</f>
        <v/>
      </c>
      <c r="D15" s="42" t="str">
        <f>IF(OR($A15="",COUNTIFS('2 Sản lượng theo ca'!$A$6:$A$505,$B$4,'2 Sản lượng theo ca'!$B$6:$B$505,$D$4,'2 Sản lượng theo ca'!$C$6:$C$505,$A15)=0),"",IFERROR(INDEX('2 Sản lượng theo ca'!$F$6:$F$505,MATCH($B$4&amp;"|"&amp;$D$4&amp;"|"&amp;$A15,'2 Sản lượng theo ca'!$Y$6:$Y$505,0))&amp;"",""))</f>
        <v/>
      </c>
      <c r="E15" s="43" t="str">
        <f>IF(OR($A15="",COUNTIFS('2 Sản lượng theo ca'!$A$6:$A$505,$B$4,'2 Sản lượng theo ca'!$B$6:$B$505,$D$4,'2 Sản lượng theo ca'!$C$6:$C$505,$A15)=0),"",SUMIFS('2 Sản lượng theo ca'!$G$6:$G$505,'2 Sản lượng theo ca'!$A$6:$A$505,$B$4,'2 Sản lượng theo ca'!$B$6:$B$505,$D$4,'2 Sản lượng theo ca'!$C$6:$C$505,$A15))</f>
        <v/>
      </c>
      <c r="F15" s="43" t="str">
        <f>IF(OR($A15="",COUNTIFS('2 Sản lượng theo ca'!$A$6:$A$505,$B$4,'2 Sản lượng theo ca'!$B$6:$B$505,$D$4,'2 Sản lượng theo ca'!$C$6:$C$505,$A15)=0),"",SUMIFS('2 Sản lượng theo ca'!$H$6:$H$505,'2 Sản lượng theo ca'!$A$6:$A$505,$B$4,'2 Sản lượng theo ca'!$B$6:$B$505,$D$4,'2 Sản lượng theo ca'!$C$6:$C$505,$A15))</f>
        <v/>
      </c>
      <c r="G15" s="43" t="str">
        <f>IF(OR($A15="",COUNTIFS('2 Sản lượng theo ca'!$A$6:$A$505,$B$4,'2 Sản lượng theo ca'!$B$6:$B$505,$D$4,'2 Sản lượng theo ca'!$C$6:$C$505,$A15)=0),"",SUMIFS('2 Sản lượng theo ca'!$I$6:$I$505,'2 Sản lượng theo ca'!$A$6:$A$505,$B$4,'2 Sản lượng theo ca'!$B$6:$B$505,$D$4,'2 Sản lượng theo ca'!$C$6:$C$505,$A15))</f>
        <v/>
      </c>
      <c r="H15" s="43" t="str">
        <f>IF(OR($A15="",COUNTIFS('2 Sản lượng theo ca'!$A$6:$A$505,$B$4,'2 Sản lượng theo ca'!$B$6:$B$505,$D$4,'2 Sản lượng theo ca'!$C$6:$C$505,$A15)=0),"",SUMIFS('2 Sản lượng theo ca'!$L$6:$L$505,'2 Sản lượng theo ca'!$A$6:$A$505,$B$4,'2 Sản lượng theo ca'!$B$6:$B$505,$D$4,'2 Sản lượng theo ca'!$C$6:$C$505,$A15))</f>
        <v/>
      </c>
      <c r="I15" s="44" t="str">
        <f>IF(OR(OR($A15="",COUNTIFS('2 Sản lượng theo ca'!$A$6:$A$505,$B$4,'2 Sản lượng theo ca'!$B$6:$B$505,$D$4,'2 Sản lượng theo ca'!$C$6:$C$505,$A15)=0),N(E15)&lt;=0),"",H15/E15)</f>
        <v/>
      </c>
      <c r="J15" s="43" t="str">
        <f>IF(OR($A15="",COUNTIFS('2 Sản lượng theo ca'!$A$6:$A$505,$B$4,'2 Sản lượng theo ca'!$B$6:$B$505,$D$4,'2 Sản lượng theo ca'!$C$6:$C$505,$A15)=0),"",SUMIFS('2 Sản lượng theo ca'!$Q$6:$Q$505,'2 Sản lượng theo ca'!$A$6:$A$505,$B$4,'2 Sản lượng theo ca'!$B$6:$B$505,$D$4,'2 Sản lượng theo ca'!$C$6:$C$505,$A15))</f>
        <v/>
      </c>
      <c r="K15" s="42" t="str">
        <f>IF(OR($A15="",COUNTIFS('2 Sản lượng theo ca'!$A$6:$A$505,$B$4,'2 Sản lượng theo ca'!$B$6:$B$505,$D$4,'2 Sản lượng theo ca'!$C$6:$C$505,$A15)=0),"",SUMIFS('2 Sản lượng theo ca'!$R$6:$R$505,'2 Sản lượng theo ca'!$A$6:$A$505,$B$4,'2 Sản lượng theo ca'!$B$6:$B$505,$D$4,'2 Sản lượng theo ca'!$C$6:$C$505,$A15))</f>
        <v/>
      </c>
      <c r="L15" s="45" t="str">
        <f>IF(OR($A15="",COUNTIFS('2 Sản lượng theo ca'!$A$6:$A$505,$B$4,'2 Sản lượng theo ca'!$B$6:$B$505,$D$4,'2 Sản lượng theo ca'!$C$6:$C$505,$A15)=0),"",SUMIFS('2 Sản lượng theo ca'!$T$6:$T$505,'2 Sản lượng theo ca'!$A$6:$A$505,$B$4,'2 Sản lượng theo ca'!$B$6:$B$505,$D$4,'2 Sản lượng theo ca'!$C$6:$C$505,$A15))</f>
        <v/>
      </c>
      <c r="M15" s="44" t="str">
        <f>IF(OR($A15="",COUNTIFS('2 Sản lượng theo ca'!$A$6:$A$505,$B$4,'2 Sản lượng theo ca'!$B$6:$B$505,$D$4,'2 Sản lượng theo ca'!$C$6:$C$505,$A15)=0),"",IFERROR(SUMIFS('2 Sản lượng theo ca'!$U$6:$U$505,'2 Sản lượng theo ca'!$A$6:$A$505,$B$4,'2 Sản lượng theo ca'!$B$6:$B$505,$D$4,'2 Sản lượng theo ca'!$C$6:$C$505,$A15)/SUMIFS('2 Sản lượng theo ca'!$P$6:$P$505,'2 Sản lượng theo ca'!$A$6:$A$505,$B$4,'2 Sản lượng theo ca'!$B$6:$B$505,$D$4,'2 Sản lượng theo ca'!$C$6:$C$505,$A15),""))</f>
        <v/>
      </c>
    </row>
    <row r="16" spans="1:13" x14ac:dyDescent="0.2">
      <c r="A16" s="33" t="str">
        <f>IF(INDEX(DS_MAY,10)="","",INDEX(DS_MAY,10))</f>
        <v/>
      </c>
      <c r="B16" s="42" t="str">
        <f>IF(OR($A16="",COUNTIFS('2 Sản lượng theo ca'!$A$6:$A$505,$B$4,'2 Sản lượng theo ca'!$B$6:$B$505,$D$4,'2 Sản lượng theo ca'!$C$6:$C$505,$A16)=0),"",IFERROR(INDEX('2 Sản lượng theo ca'!$D$6:$D$505,MATCH($B$4&amp;"|"&amp;$D$4&amp;"|"&amp;$A16,'2 Sản lượng theo ca'!$Y$6:$Y$505,0))&amp;"",""))</f>
        <v/>
      </c>
      <c r="C16" s="42" t="str">
        <f>IF(OR($A16="",COUNTIFS('2 Sản lượng theo ca'!$A$6:$A$505,$B$4,'2 Sản lượng theo ca'!$B$6:$B$505,$D$4,'2 Sản lượng theo ca'!$C$6:$C$505,$A16)=0),"",IFERROR(INDEX('2 Sản lượng theo ca'!$E$6:$E$505,MATCH($B$4&amp;"|"&amp;$D$4&amp;"|"&amp;$A16,'2 Sản lượng theo ca'!$Y$6:$Y$505,0))&amp;"",""))</f>
        <v/>
      </c>
      <c r="D16" s="42" t="str">
        <f>IF(OR($A16="",COUNTIFS('2 Sản lượng theo ca'!$A$6:$A$505,$B$4,'2 Sản lượng theo ca'!$B$6:$B$505,$D$4,'2 Sản lượng theo ca'!$C$6:$C$505,$A16)=0),"",IFERROR(INDEX('2 Sản lượng theo ca'!$F$6:$F$505,MATCH($B$4&amp;"|"&amp;$D$4&amp;"|"&amp;$A16,'2 Sản lượng theo ca'!$Y$6:$Y$505,0))&amp;"",""))</f>
        <v/>
      </c>
      <c r="E16" s="43" t="str">
        <f>IF(OR($A16="",COUNTIFS('2 Sản lượng theo ca'!$A$6:$A$505,$B$4,'2 Sản lượng theo ca'!$B$6:$B$505,$D$4,'2 Sản lượng theo ca'!$C$6:$C$505,$A16)=0),"",SUMIFS('2 Sản lượng theo ca'!$G$6:$G$505,'2 Sản lượng theo ca'!$A$6:$A$505,$B$4,'2 Sản lượng theo ca'!$B$6:$B$505,$D$4,'2 Sản lượng theo ca'!$C$6:$C$505,$A16))</f>
        <v/>
      </c>
      <c r="F16" s="43" t="str">
        <f>IF(OR($A16="",COUNTIFS('2 Sản lượng theo ca'!$A$6:$A$505,$B$4,'2 Sản lượng theo ca'!$B$6:$B$505,$D$4,'2 Sản lượng theo ca'!$C$6:$C$505,$A16)=0),"",SUMIFS('2 Sản lượng theo ca'!$H$6:$H$505,'2 Sản lượng theo ca'!$A$6:$A$505,$B$4,'2 Sản lượng theo ca'!$B$6:$B$505,$D$4,'2 Sản lượng theo ca'!$C$6:$C$505,$A16))</f>
        <v/>
      </c>
      <c r="G16" s="43" t="str">
        <f>IF(OR($A16="",COUNTIFS('2 Sản lượng theo ca'!$A$6:$A$505,$B$4,'2 Sản lượng theo ca'!$B$6:$B$505,$D$4,'2 Sản lượng theo ca'!$C$6:$C$505,$A16)=0),"",SUMIFS('2 Sản lượng theo ca'!$I$6:$I$505,'2 Sản lượng theo ca'!$A$6:$A$505,$B$4,'2 Sản lượng theo ca'!$B$6:$B$505,$D$4,'2 Sản lượng theo ca'!$C$6:$C$505,$A16))</f>
        <v/>
      </c>
      <c r="H16" s="43" t="str">
        <f>IF(OR($A16="",COUNTIFS('2 Sản lượng theo ca'!$A$6:$A$505,$B$4,'2 Sản lượng theo ca'!$B$6:$B$505,$D$4,'2 Sản lượng theo ca'!$C$6:$C$505,$A16)=0),"",SUMIFS('2 Sản lượng theo ca'!$L$6:$L$505,'2 Sản lượng theo ca'!$A$6:$A$505,$B$4,'2 Sản lượng theo ca'!$B$6:$B$505,$D$4,'2 Sản lượng theo ca'!$C$6:$C$505,$A16))</f>
        <v/>
      </c>
      <c r="I16" s="44" t="str">
        <f>IF(OR(OR($A16="",COUNTIFS('2 Sản lượng theo ca'!$A$6:$A$505,$B$4,'2 Sản lượng theo ca'!$B$6:$B$505,$D$4,'2 Sản lượng theo ca'!$C$6:$C$505,$A16)=0),N(E16)&lt;=0),"",H16/E16)</f>
        <v/>
      </c>
      <c r="J16" s="43" t="str">
        <f>IF(OR($A16="",COUNTIFS('2 Sản lượng theo ca'!$A$6:$A$505,$B$4,'2 Sản lượng theo ca'!$B$6:$B$505,$D$4,'2 Sản lượng theo ca'!$C$6:$C$505,$A16)=0),"",SUMIFS('2 Sản lượng theo ca'!$Q$6:$Q$505,'2 Sản lượng theo ca'!$A$6:$A$505,$B$4,'2 Sản lượng theo ca'!$B$6:$B$505,$D$4,'2 Sản lượng theo ca'!$C$6:$C$505,$A16))</f>
        <v/>
      </c>
      <c r="K16" s="42" t="str">
        <f>IF(OR($A16="",COUNTIFS('2 Sản lượng theo ca'!$A$6:$A$505,$B$4,'2 Sản lượng theo ca'!$B$6:$B$505,$D$4,'2 Sản lượng theo ca'!$C$6:$C$505,$A16)=0),"",SUMIFS('2 Sản lượng theo ca'!$R$6:$R$505,'2 Sản lượng theo ca'!$A$6:$A$505,$B$4,'2 Sản lượng theo ca'!$B$6:$B$505,$D$4,'2 Sản lượng theo ca'!$C$6:$C$505,$A16))</f>
        <v/>
      </c>
      <c r="L16" s="45" t="str">
        <f>IF(OR($A16="",COUNTIFS('2 Sản lượng theo ca'!$A$6:$A$505,$B$4,'2 Sản lượng theo ca'!$B$6:$B$505,$D$4,'2 Sản lượng theo ca'!$C$6:$C$505,$A16)=0),"",SUMIFS('2 Sản lượng theo ca'!$T$6:$T$505,'2 Sản lượng theo ca'!$A$6:$A$505,$B$4,'2 Sản lượng theo ca'!$B$6:$B$505,$D$4,'2 Sản lượng theo ca'!$C$6:$C$505,$A16))</f>
        <v/>
      </c>
      <c r="M16" s="44" t="str">
        <f>IF(OR($A16="",COUNTIFS('2 Sản lượng theo ca'!$A$6:$A$505,$B$4,'2 Sản lượng theo ca'!$B$6:$B$505,$D$4,'2 Sản lượng theo ca'!$C$6:$C$505,$A16)=0),"",IFERROR(SUMIFS('2 Sản lượng theo ca'!$U$6:$U$505,'2 Sản lượng theo ca'!$A$6:$A$505,$B$4,'2 Sản lượng theo ca'!$B$6:$B$505,$D$4,'2 Sản lượng theo ca'!$C$6:$C$505,$A16)/SUMIFS('2 Sản lượng theo ca'!$P$6:$P$505,'2 Sản lượng theo ca'!$A$6:$A$505,$B$4,'2 Sản lượng theo ca'!$B$6:$B$505,$D$4,'2 Sản lượng theo ca'!$C$6:$C$505,$A16),""))</f>
        <v/>
      </c>
    </row>
    <row r="17" spans="1:13" x14ac:dyDescent="0.2">
      <c r="A17" s="33" t="str">
        <f>IF(INDEX(DS_MAY,11)="","",INDEX(DS_MAY,11))</f>
        <v/>
      </c>
      <c r="B17" s="42" t="str">
        <f>IF(OR($A17="",COUNTIFS('2 Sản lượng theo ca'!$A$6:$A$505,$B$4,'2 Sản lượng theo ca'!$B$6:$B$505,$D$4,'2 Sản lượng theo ca'!$C$6:$C$505,$A17)=0),"",IFERROR(INDEX('2 Sản lượng theo ca'!$D$6:$D$505,MATCH($B$4&amp;"|"&amp;$D$4&amp;"|"&amp;$A17,'2 Sản lượng theo ca'!$Y$6:$Y$505,0))&amp;"",""))</f>
        <v/>
      </c>
      <c r="C17" s="42" t="str">
        <f>IF(OR($A17="",COUNTIFS('2 Sản lượng theo ca'!$A$6:$A$505,$B$4,'2 Sản lượng theo ca'!$B$6:$B$505,$D$4,'2 Sản lượng theo ca'!$C$6:$C$505,$A17)=0),"",IFERROR(INDEX('2 Sản lượng theo ca'!$E$6:$E$505,MATCH($B$4&amp;"|"&amp;$D$4&amp;"|"&amp;$A17,'2 Sản lượng theo ca'!$Y$6:$Y$505,0))&amp;"",""))</f>
        <v/>
      </c>
      <c r="D17" s="42" t="str">
        <f>IF(OR($A17="",COUNTIFS('2 Sản lượng theo ca'!$A$6:$A$505,$B$4,'2 Sản lượng theo ca'!$B$6:$B$505,$D$4,'2 Sản lượng theo ca'!$C$6:$C$505,$A17)=0),"",IFERROR(INDEX('2 Sản lượng theo ca'!$F$6:$F$505,MATCH($B$4&amp;"|"&amp;$D$4&amp;"|"&amp;$A17,'2 Sản lượng theo ca'!$Y$6:$Y$505,0))&amp;"",""))</f>
        <v/>
      </c>
      <c r="E17" s="43" t="str">
        <f>IF(OR($A17="",COUNTIFS('2 Sản lượng theo ca'!$A$6:$A$505,$B$4,'2 Sản lượng theo ca'!$B$6:$B$505,$D$4,'2 Sản lượng theo ca'!$C$6:$C$505,$A17)=0),"",SUMIFS('2 Sản lượng theo ca'!$G$6:$G$505,'2 Sản lượng theo ca'!$A$6:$A$505,$B$4,'2 Sản lượng theo ca'!$B$6:$B$505,$D$4,'2 Sản lượng theo ca'!$C$6:$C$505,$A17))</f>
        <v/>
      </c>
      <c r="F17" s="43" t="str">
        <f>IF(OR($A17="",COUNTIFS('2 Sản lượng theo ca'!$A$6:$A$505,$B$4,'2 Sản lượng theo ca'!$B$6:$B$505,$D$4,'2 Sản lượng theo ca'!$C$6:$C$505,$A17)=0),"",SUMIFS('2 Sản lượng theo ca'!$H$6:$H$505,'2 Sản lượng theo ca'!$A$6:$A$505,$B$4,'2 Sản lượng theo ca'!$B$6:$B$505,$D$4,'2 Sản lượng theo ca'!$C$6:$C$505,$A17))</f>
        <v/>
      </c>
      <c r="G17" s="43" t="str">
        <f>IF(OR($A17="",COUNTIFS('2 Sản lượng theo ca'!$A$6:$A$505,$B$4,'2 Sản lượng theo ca'!$B$6:$B$505,$D$4,'2 Sản lượng theo ca'!$C$6:$C$505,$A17)=0),"",SUMIFS('2 Sản lượng theo ca'!$I$6:$I$505,'2 Sản lượng theo ca'!$A$6:$A$505,$B$4,'2 Sản lượng theo ca'!$B$6:$B$505,$D$4,'2 Sản lượng theo ca'!$C$6:$C$505,$A17))</f>
        <v/>
      </c>
      <c r="H17" s="43" t="str">
        <f>IF(OR($A17="",COUNTIFS('2 Sản lượng theo ca'!$A$6:$A$505,$B$4,'2 Sản lượng theo ca'!$B$6:$B$505,$D$4,'2 Sản lượng theo ca'!$C$6:$C$505,$A17)=0),"",SUMIFS('2 Sản lượng theo ca'!$L$6:$L$505,'2 Sản lượng theo ca'!$A$6:$A$505,$B$4,'2 Sản lượng theo ca'!$B$6:$B$505,$D$4,'2 Sản lượng theo ca'!$C$6:$C$505,$A17))</f>
        <v/>
      </c>
      <c r="I17" s="44" t="str">
        <f>IF(OR(OR($A17="",COUNTIFS('2 Sản lượng theo ca'!$A$6:$A$505,$B$4,'2 Sản lượng theo ca'!$B$6:$B$505,$D$4,'2 Sản lượng theo ca'!$C$6:$C$505,$A17)=0),N(E17)&lt;=0),"",H17/E17)</f>
        <v/>
      </c>
      <c r="J17" s="43" t="str">
        <f>IF(OR($A17="",COUNTIFS('2 Sản lượng theo ca'!$A$6:$A$505,$B$4,'2 Sản lượng theo ca'!$B$6:$B$505,$D$4,'2 Sản lượng theo ca'!$C$6:$C$505,$A17)=0),"",SUMIFS('2 Sản lượng theo ca'!$Q$6:$Q$505,'2 Sản lượng theo ca'!$A$6:$A$505,$B$4,'2 Sản lượng theo ca'!$B$6:$B$505,$D$4,'2 Sản lượng theo ca'!$C$6:$C$505,$A17))</f>
        <v/>
      </c>
      <c r="K17" s="42" t="str">
        <f>IF(OR($A17="",COUNTIFS('2 Sản lượng theo ca'!$A$6:$A$505,$B$4,'2 Sản lượng theo ca'!$B$6:$B$505,$D$4,'2 Sản lượng theo ca'!$C$6:$C$505,$A17)=0),"",SUMIFS('2 Sản lượng theo ca'!$R$6:$R$505,'2 Sản lượng theo ca'!$A$6:$A$505,$B$4,'2 Sản lượng theo ca'!$B$6:$B$505,$D$4,'2 Sản lượng theo ca'!$C$6:$C$505,$A17))</f>
        <v/>
      </c>
      <c r="L17" s="45" t="str">
        <f>IF(OR($A17="",COUNTIFS('2 Sản lượng theo ca'!$A$6:$A$505,$B$4,'2 Sản lượng theo ca'!$B$6:$B$505,$D$4,'2 Sản lượng theo ca'!$C$6:$C$505,$A17)=0),"",SUMIFS('2 Sản lượng theo ca'!$T$6:$T$505,'2 Sản lượng theo ca'!$A$6:$A$505,$B$4,'2 Sản lượng theo ca'!$B$6:$B$505,$D$4,'2 Sản lượng theo ca'!$C$6:$C$505,$A17))</f>
        <v/>
      </c>
      <c r="M17" s="44" t="str">
        <f>IF(OR($A17="",COUNTIFS('2 Sản lượng theo ca'!$A$6:$A$505,$B$4,'2 Sản lượng theo ca'!$B$6:$B$505,$D$4,'2 Sản lượng theo ca'!$C$6:$C$505,$A17)=0),"",IFERROR(SUMIFS('2 Sản lượng theo ca'!$U$6:$U$505,'2 Sản lượng theo ca'!$A$6:$A$505,$B$4,'2 Sản lượng theo ca'!$B$6:$B$505,$D$4,'2 Sản lượng theo ca'!$C$6:$C$505,$A17)/SUMIFS('2 Sản lượng theo ca'!$P$6:$P$505,'2 Sản lượng theo ca'!$A$6:$A$505,$B$4,'2 Sản lượng theo ca'!$B$6:$B$505,$D$4,'2 Sản lượng theo ca'!$C$6:$C$505,$A17),""))</f>
        <v/>
      </c>
    </row>
    <row r="18" spans="1:13" x14ac:dyDescent="0.2">
      <c r="A18" s="33" t="str">
        <f>IF(INDEX(DS_MAY,12)="","",INDEX(DS_MAY,12))</f>
        <v/>
      </c>
      <c r="B18" s="42" t="str">
        <f>IF(OR($A18="",COUNTIFS('2 Sản lượng theo ca'!$A$6:$A$505,$B$4,'2 Sản lượng theo ca'!$B$6:$B$505,$D$4,'2 Sản lượng theo ca'!$C$6:$C$505,$A18)=0),"",IFERROR(INDEX('2 Sản lượng theo ca'!$D$6:$D$505,MATCH($B$4&amp;"|"&amp;$D$4&amp;"|"&amp;$A18,'2 Sản lượng theo ca'!$Y$6:$Y$505,0))&amp;"",""))</f>
        <v/>
      </c>
      <c r="C18" s="42" t="str">
        <f>IF(OR($A18="",COUNTIFS('2 Sản lượng theo ca'!$A$6:$A$505,$B$4,'2 Sản lượng theo ca'!$B$6:$B$505,$D$4,'2 Sản lượng theo ca'!$C$6:$C$505,$A18)=0),"",IFERROR(INDEX('2 Sản lượng theo ca'!$E$6:$E$505,MATCH($B$4&amp;"|"&amp;$D$4&amp;"|"&amp;$A18,'2 Sản lượng theo ca'!$Y$6:$Y$505,0))&amp;"",""))</f>
        <v/>
      </c>
      <c r="D18" s="42" t="str">
        <f>IF(OR($A18="",COUNTIFS('2 Sản lượng theo ca'!$A$6:$A$505,$B$4,'2 Sản lượng theo ca'!$B$6:$B$505,$D$4,'2 Sản lượng theo ca'!$C$6:$C$505,$A18)=0),"",IFERROR(INDEX('2 Sản lượng theo ca'!$F$6:$F$505,MATCH($B$4&amp;"|"&amp;$D$4&amp;"|"&amp;$A18,'2 Sản lượng theo ca'!$Y$6:$Y$505,0))&amp;"",""))</f>
        <v/>
      </c>
      <c r="E18" s="43" t="str">
        <f>IF(OR($A18="",COUNTIFS('2 Sản lượng theo ca'!$A$6:$A$505,$B$4,'2 Sản lượng theo ca'!$B$6:$B$505,$D$4,'2 Sản lượng theo ca'!$C$6:$C$505,$A18)=0),"",SUMIFS('2 Sản lượng theo ca'!$G$6:$G$505,'2 Sản lượng theo ca'!$A$6:$A$505,$B$4,'2 Sản lượng theo ca'!$B$6:$B$505,$D$4,'2 Sản lượng theo ca'!$C$6:$C$505,$A18))</f>
        <v/>
      </c>
      <c r="F18" s="43" t="str">
        <f>IF(OR($A18="",COUNTIFS('2 Sản lượng theo ca'!$A$6:$A$505,$B$4,'2 Sản lượng theo ca'!$B$6:$B$505,$D$4,'2 Sản lượng theo ca'!$C$6:$C$505,$A18)=0),"",SUMIFS('2 Sản lượng theo ca'!$H$6:$H$505,'2 Sản lượng theo ca'!$A$6:$A$505,$B$4,'2 Sản lượng theo ca'!$B$6:$B$505,$D$4,'2 Sản lượng theo ca'!$C$6:$C$505,$A18))</f>
        <v/>
      </c>
      <c r="G18" s="43" t="str">
        <f>IF(OR($A18="",COUNTIFS('2 Sản lượng theo ca'!$A$6:$A$505,$B$4,'2 Sản lượng theo ca'!$B$6:$B$505,$D$4,'2 Sản lượng theo ca'!$C$6:$C$505,$A18)=0),"",SUMIFS('2 Sản lượng theo ca'!$I$6:$I$505,'2 Sản lượng theo ca'!$A$6:$A$505,$B$4,'2 Sản lượng theo ca'!$B$6:$B$505,$D$4,'2 Sản lượng theo ca'!$C$6:$C$505,$A18))</f>
        <v/>
      </c>
      <c r="H18" s="43" t="str">
        <f>IF(OR($A18="",COUNTIFS('2 Sản lượng theo ca'!$A$6:$A$505,$B$4,'2 Sản lượng theo ca'!$B$6:$B$505,$D$4,'2 Sản lượng theo ca'!$C$6:$C$505,$A18)=0),"",SUMIFS('2 Sản lượng theo ca'!$L$6:$L$505,'2 Sản lượng theo ca'!$A$6:$A$505,$B$4,'2 Sản lượng theo ca'!$B$6:$B$505,$D$4,'2 Sản lượng theo ca'!$C$6:$C$505,$A18))</f>
        <v/>
      </c>
      <c r="I18" s="44" t="str">
        <f>IF(OR(OR($A18="",COUNTIFS('2 Sản lượng theo ca'!$A$6:$A$505,$B$4,'2 Sản lượng theo ca'!$B$6:$B$505,$D$4,'2 Sản lượng theo ca'!$C$6:$C$505,$A18)=0),N(E18)&lt;=0),"",H18/E18)</f>
        <v/>
      </c>
      <c r="J18" s="43" t="str">
        <f>IF(OR($A18="",COUNTIFS('2 Sản lượng theo ca'!$A$6:$A$505,$B$4,'2 Sản lượng theo ca'!$B$6:$B$505,$D$4,'2 Sản lượng theo ca'!$C$6:$C$505,$A18)=0),"",SUMIFS('2 Sản lượng theo ca'!$Q$6:$Q$505,'2 Sản lượng theo ca'!$A$6:$A$505,$B$4,'2 Sản lượng theo ca'!$B$6:$B$505,$D$4,'2 Sản lượng theo ca'!$C$6:$C$505,$A18))</f>
        <v/>
      </c>
      <c r="K18" s="42" t="str">
        <f>IF(OR($A18="",COUNTIFS('2 Sản lượng theo ca'!$A$6:$A$505,$B$4,'2 Sản lượng theo ca'!$B$6:$B$505,$D$4,'2 Sản lượng theo ca'!$C$6:$C$505,$A18)=0),"",SUMIFS('2 Sản lượng theo ca'!$R$6:$R$505,'2 Sản lượng theo ca'!$A$6:$A$505,$B$4,'2 Sản lượng theo ca'!$B$6:$B$505,$D$4,'2 Sản lượng theo ca'!$C$6:$C$505,$A18))</f>
        <v/>
      </c>
      <c r="L18" s="45" t="str">
        <f>IF(OR($A18="",COUNTIFS('2 Sản lượng theo ca'!$A$6:$A$505,$B$4,'2 Sản lượng theo ca'!$B$6:$B$505,$D$4,'2 Sản lượng theo ca'!$C$6:$C$505,$A18)=0),"",SUMIFS('2 Sản lượng theo ca'!$T$6:$T$505,'2 Sản lượng theo ca'!$A$6:$A$505,$B$4,'2 Sản lượng theo ca'!$B$6:$B$505,$D$4,'2 Sản lượng theo ca'!$C$6:$C$505,$A18))</f>
        <v/>
      </c>
      <c r="M18" s="44" t="str">
        <f>IF(OR($A18="",COUNTIFS('2 Sản lượng theo ca'!$A$6:$A$505,$B$4,'2 Sản lượng theo ca'!$B$6:$B$505,$D$4,'2 Sản lượng theo ca'!$C$6:$C$505,$A18)=0),"",IFERROR(SUMIFS('2 Sản lượng theo ca'!$U$6:$U$505,'2 Sản lượng theo ca'!$A$6:$A$505,$B$4,'2 Sản lượng theo ca'!$B$6:$B$505,$D$4,'2 Sản lượng theo ca'!$C$6:$C$505,$A18)/SUMIFS('2 Sản lượng theo ca'!$P$6:$P$505,'2 Sản lượng theo ca'!$A$6:$A$505,$B$4,'2 Sản lượng theo ca'!$B$6:$B$505,$D$4,'2 Sản lượng theo ca'!$C$6:$C$505,$A18),""))</f>
        <v/>
      </c>
    </row>
    <row r="19" spans="1:13" x14ac:dyDescent="0.2">
      <c r="A19" s="33" t="str">
        <f>IF(INDEX(DS_MAY,13)="","",INDEX(DS_MAY,13))</f>
        <v/>
      </c>
      <c r="B19" s="42" t="str">
        <f>IF(OR($A19="",COUNTIFS('2 Sản lượng theo ca'!$A$6:$A$505,$B$4,'2 Sản lượng theo ca'!$B$6:$B$505,$D$4,'2 Sản lượng theo ca'!$C$6:$C$505,$A19)=0),"",IFERROR(INDEX('2 Sản lượng theo ca'!$D$6:$D$505,MATCH($B$4&amp;"|"&amp;$D$4&amp;"|"&amp;$A19,'2 Sản lượng theo ca'!$Y$6:$Y$505,0))&amp;"",""))</f>
        <v/>
      </c>
      <c r="C19" s="42" t="str">
        <f>IF(OR($A19="",COUNTIFS('2 Sản lượng theo ca'!$A$6:$A$505,$B$4,'2 Sản lượng theo ca'!$B$6:$B$505,$D$4,'2 Sản lượng theo ca'!$C$6:$C$505,$A19)=0),"",IFERROR(INDEX('2 Sản lượng theo ca'!$E$6:$E$505,MATCH($B$4&amp;"|"&amp;$D$4&amp;"|"&amp;$A19,'2 Sản lượng theo ca'!$Y$6:$Y$505,0))&amp;"",""))</f>
        <v/>
      </c>
      <c r="D19" s="42" t="str">
        <f>IF(OR($A19="",COUNTIFS('2 Sản lượng theo ca'!$A$6:$A$505,$B$4,'2 Sản lượng theo ca'!$B$6:$B$505,$D$4,'2 Sản lượng theo ca'!$C$6:$C$505,$A19)=0),"",IFERROR(INDEX('2 Sản lượng theo ca'!$F$6:$F$505,MATCH($B$4&amp;"|"&amp;$D$4&amp;"|"&amp;$A19,'2 Sản lượng theo ca'!$Y$6:$Y$505,0))&amp;"",""))</f>
        <v/>
      </c>
      <c r="E19" s="43" t="str">
        <f>IF(OR($A19="",COUNTIFS('2 Sản lượng theo ca'!$A$6:$A$505,$B$4,'2 Sản lượng theo ca'!$B$6:$B$505,$D$4,'2 Sản lượng theo ca'!$C$6:$C$505,$A19)=0),"",SUMIFS('2 Sản lượng theo ca'!$G$6:$G$505,'2 Sản lượng theo ca'!$A$6:$A$505,$B$4,'2 Sản lượng theo ca'!$B$6:$B$505,$D$4,'2 Sản lượng theo ca'!$C$6:$C$505,$A19))</f>
        <v/>
      </c>
      <c r="F19" s="43" t="str">
        <f>IF(OR($A19="",COUNTIFS('2 Sản lượng theo ca'!$A$6:$A$505,$B$4,'2 Sản lượng theo ca'!$B$6:$B$505,$D$4,'2 Sản lượng theo ca'!$C$6:$C$505,$A19)=0),"",SUMIFS('2 Sản lượng theo ca'!$H$6:$H$505,'2 Sản lượng theo ca'!$A$6:$A$505,$B$4,'2 Sản lượng theo ca'!$B$6:$B$505,$D$4,'2 Sản lượng theo ca'!$C$6:$C$505,$A19))</f>
        <v/>
      </c>
      <c r="G19" s="43" t="str">
        <f>IF(OR($A19="",COUNTIFS('2 Sản lượng theo ca'!$A$6:$A$505,$B$4,'2 Sản lượng theo ca'!$B$6:$B$505,$D$4,'2 Sản lượng theo ca'!$C$6:$C$505,$A19)=0),"",SUMIFS('2 Sản lượng theo ca'!$I$6:$I$505,'2 Sản lượng theo ca'!$A$6:$A$505,$B$4,'2 Sản lượng theo ca'!$B$6:$B$505,$D$4,'2 Sản lượng theo ca'!$C$6:$C$505,$A19))</f>
        <v/>
      </c>
      <c r="H19" s="43" t="str">
        <f>IF(OR($A19="",COUNTIFS('2 Sản lượng theo ca'!$A$6:$A$505,$B$4,'2 Sản lượng theo ca'!$B$6:$B$505,$D$4,'2 Sản lượng theo ca'!$C$6:$C$505,$A19)=0),"",SUMIFS('2 Sản lượng theo ca'!$L$6:$L$505,'2 Sản lượng theo ca'!$A$6:$A$505,$B$4,'2 Sản lượng theo ca'!$B$6:$B$505,$D$4,'2 Sản lượng theo ca'!$C$6:$C$505,$A19))</f>
        <v/>
      </c>
      <c r="I19" s="44" t="str">
        <f>IF(OR(OR($A19="",COUNTIFS('2 Sản lượng theo ca'!$A$6:$A$505,$B$4,'2 Sản lượng theo ca'!$B$6:$B$505,$D$4,'2 Sản lượng theo ca'!$C$6:$C$505,$A19)=0),N(E19)&lt;=0),"",H19/E19)</f>
        <v/>
      </c>
      <c r="J19" s="43" t="str">
        <f>IF(OR($A19="",COUNTIFS('2 Sản lượng theo ca'!$A$6:$A$505,$B$4,'2 Sản lượng theo ca'!$B$6:$B$505,$D$4,'2 Sản lượng theo ca'!$C$6:$C$505,$A19)=0),"",SUMIFS('2 Sản lượng theo ca'!$Q$6:$Q$505,'2 Sản lượng theo ca'!$A$6:$A$505,$B$4,'2 Sản lượng theo ca'!$B$6:$B$505,$D$4,'2 Sản lượng theo ca'!$C$6:$C$505,$A19))</f>
        <v/>
      </c>
      <c r="K19" s="42" t="str">
        <f>IF(OR($A19="",COUNTIFS('2 Sản lượng theo ca'!$A$6:$A$505,$B$4,'2 Sản lượng theo ca'!$B$6:$B$505,$D$4,'2 Sản lượng theo ca'!$C$6:$C$505,$A19)=0),"",SUMIFS('2 Sản lượng theo ca'!$R$6:$R$505,'2 Sản lượng theo ca'!$A$6:$A$505,$B$4,'2 Sản lượng theo ca'!$B$6:$B$505,$D$4,'2 Sản lượng theo ca'!$C$6:$C$505,$A19))</f>
        <v/>
      </c>
      <c r="L19" s="45" t="str">
        <f>IF(OR($A19="",COUNTIFS('2 Sản lượng theo ca'!$A$6:$A$505,$B$4,'2 Sản lượng theo ca'!$B$6:$B$505,$D$4,'2 Sản lượng theo ca'!$C$6:$C$505,$A19)=0),"",SUMIFS('2 Sản lượng theo ca'!$T$6:$T$505,'2 Sản lượng theo ca'!$A$6:$A$505,$B$4,'2 Sản lượng theo ca'!$B$6:$B$505,$D$4,'2 Sản lượng theo ca'!$C$6:$C$505,$A19))</f>
        <v/>
      </c>
      <c r="M19" s="44" t="str">
        <f>IF(OR($A19="",COUNTIFS('2 Sản lượng theo ca'!$A$6:$A$505,$B$4,'2 Sản lượng theo ca'!$B$6:$B$505,$D$4,'2 Sản lượng theo ca'!$C$6:$C$505,$A19)=0),"",IFERROR(SUMIFS('2 Sản lượng theo ca'!$U$6:$U$505,'2 Sản lượng theo ca'!$A$6:$A$505,$B$4,'2 Sản lượng theo ca'!$B$6:$B$505,$D$4,'2 Sản lượng theo ca'!$C$6:$C$505,$A19)/SUMIFS('2 Sản lượng theo ca'!$P$6:$P$505,'2 Sản lượng theo ca'!$A$6:$A$505,$B$4,'2 Sản lượng theo ca'!$B$6:$B$505,$D$4,'2 Sản lượng theo ca'!$C$6:$C$505,$A19),""))</f>
        <v/>
      </c>
    </row>
    <row r="20" spans="1:13" x14ac:dyDescent="0.2">
      <c r="A20" s="33" t="str">
        <f>IF(INDEX(DS_MAY,14)="","",INDEX(DS_MAY,14))</f>
        <v/>
      </c>
      <c r="B20" s="42" t="str">
        <f>IF(OR($A20="",COUNTIFS('2 Sản lượng theo ca'!$A$6:$A$505,$B$4,'2 Sản lượng theo ca'!$B$6:$B$505,$D$4,'2 Sản lượng theo ca'!$C$6:$C$505,$A20)=0),"",IFERROR(INDEX('2 Sản lượng theo ca'!$D$6:$D$505,MATCH($B$4&amp;"|"&amp;$D$4&amp;"|"&amp;$A20,'2 Sản lượng theo ca'!$Y$6:$Y$505,0))&amp;"",""))</f>
        <v/>
      </c>
      <c r="C20" s="42" t="str">
        <f>IF(OR($A20="",COUNTIFS('2 Sản lượng theo ca'!$A$6:$A$505,$B$4,'2 Sản lượng theo ca'!$B$6:$B$505,$D$4,'2 Sản lượng theo ca'!$C$6:$C$505,$A20)=0),"",IFERROR(INDEX('2 Sản lượng theo ca'!$E$6:$E$505,MATCH($B$4&amp;"|"&amp;$D$4&amp;"|"&amp;$A20,'2 Sản lượng theo ca'!$Y$6:$Y$505,0))&amp;"",""))</f>
        <v/>
      </c>
      <c r="D20" s="42" t="str">
        <f>IF(OR($A20="",COUNTIFS('2 Sản lượng theo ca'!$A$6:$A$505,$B$4,'2 Sản lượng theo ca'!$B$6:$B$505,$D$4,'2 Sản lượng theo ca'!$C$6:$C$505,$A20)=0),"",IFERROR(INDEX('2 Sản lượng theo ca'!$F$6:$F$505,MATCH($B$4&amp;"|"&amp;$D$4&amp;"|"&amp;$A20,'2 Sản lượng theo ca'!$Y$6:$Y$505,0))&amp;"",""))</f>
        <v/>
      </c>
      <c r="E20" s="43" t="str">
        <f>IF(OR($A20="",COUNTIFS('2 Sản lượng theo ca'!$A$6:$A$505,$B$4,'2 Sản lượng theo ca'!$B$6:$B$505,$D$4,'2 Sản lượng theo ca'!$C$6:$C$505,$A20)=0),"",SUMIFS('2 Sản lượng theo ca'!$G$6:$G$505,'2 Sản lượng theo ca'!$A$6:$A$505,$B$4,'2 Sản lượng theo ca'!$B$6:$B$505,$D$4,'2 Sản lượng theo ca'!$C$6:$C$505,$A20))</f>
        <v/>
      </c>
      <c r="F20" s="43" t="str">
        <f>IF(OR($A20="",COUNTIFS('2 Sản lượng theo ca'!$A$6:$A$505,$B$4,'2 Sản lượng theo ca'!$B$6:$B$505,$D$4,'2 Sản lượng theo ca'!$C$6:$C$505,$A20)=0),"",SUMIFS('2 Sản lượng theo ca'!$H$6:$H$505,'2 Sản lượng theo ca'!$A$6:$A$505,$B$4,'2 Sản lượng theo ca'!$B$6:$B$505,$D$4,'2 Sản lượng theo ca'!$C$6:$C$505,$A20))</f>
        <v/>
      </c>
      <c r="G20" s="43" t="str">
        <f>IF(OR($A20="",COUNTIFS('2 Sản lượng theo ca'!$A$6:$A$505,$B$4,'2 Sản lượng theo ca'!$B$6:$B$505,$D$4,'2 Sản lượng theo ca'!$C$6:$C$505,$A20)=0),"",SUMIFS('2 Sản lượng theo ca'!$I$6:$I$505,'2 Sản lượng theo ca'!$A$6:$A$505,$B$4,'2 Sản lượng theo ca'!$B$6:$B$505,$D$4,'2 Sản lượng theo ca'!$C$6:$C$505,$A20))</f>
        <v/>
      </c>
      <c r="H20" s="43" t="str">
        <f>IF(OR($A20="",COUNTIFS('2 Sản lượng theo ca'!$A$6:$A$505,$B$4,'2 Sản lượng theo ca'!$B$6:$B$505,$D$4,'2 Sản lượng theo ca'!$C$6:$C$505,$A20)=0),"",SUMIFS('2 Sản lượng theo ca'!$L$6:$L$505,'2 Sản lượng theo ca'!$A$6:$A$505,$B$4,'2 Sản lượng theo ca'!$B$6:$B$505,$D$4,'2 Sản lượng theo ca'!$C$6:$C$505,$A20))</f>
        <v/>
      </c>
      <c r="I20" s="44" t="str">
        <f>IF(OR(OR($A20="",COUNTIFS('2 Sản lượng theo ca'!$A$6:$A$505,$B$4,'2 Sản lượng theo ca'!$B$6:$B$505,$D$4,'2 Sản lượng theo ca'!$C$6:$C$505,$A20)=0),N(E20)&lt;=0),"",H20/E20)</f>
        <v/>
      </c>
      <c r="J20" s="43" t="str">
        <f>IF(OR($A20="",COUNTIFS('2 Sản lượng theo ca'!$A$6:$A$505,$B$4,'2 Sản lượng theo ca'!$B$6:$B$505,$D$4,'2 Sản lượng theo ca'!$C$6:$C$505,$A20)=0),"",SUMIFS('2 Sản lượng theo ca'!$Q$6:$Q$505,'2 Sản lượng theo ca'!$A$6:$A$505,$B$4,'2 Sản lượng theo ca'!$B$6:$B$505,$D$4,'2 Sản lượng theo ca'!$C$6:$C$505,$A20))</f>
        <v/>
      </c>
      <c r="K20" s="42" t="str">
        <f>IF(OR($A20="",COUNTIFS('2 Sản lượng theo ca'!$A$6:$A$505,$B$4,'2 Sản lượng theo ca'!$B$6:$B$505,$D$4,'2 Sản lượng theo ca'!$C$6:$C$505,$A20)=0),"",SUMIFS('2 Sản lượng theo ca'!$R$6:$R$505,'2 Sản lượng theo ca'!$A$6:$A$505,$B$4,'2 Sản lượng theo ca'!$B$6:$B$505,$D$4,'2 Sản lượng theo ca'!$C$6:$C$505,$A20))</f>
        <v/>
      </c>
      <c r="L20" s="45" t="str">
        <f>IF(OR($A20="",COUNTIFS('2 Sản lượng theo ca'!$A$6:$A$505,$B$4,'2 Sản lượng theo ca'!$B$6:$B$505,$D$4,'2 Sản lượng theo ca'!$C$6:$C$505,$A20)=0),"",SUMIFS('2 Sản lượng theo ca'!$T$6:$T$505,'2 Sản lượng theo ca'!$A$6:$A$505,$B$4,'2 Sản lượng theo ca'!$B$6:$B$505,$D$4,'2 Sản lượng theo ca'!$C$6:$C$505,$A20))</f>
        <v/>
      </c>
      <c r="M20" s="44" t="str">
        <f>IF(OR($A20="",COUNTIFS('2 Sản lượng theo ca'!$A$6:$A$505,$B$4,'2 Sản lượng theo ca'!$B$6:$B$505,$D$4,'2 Sản lượng theo ca'!$C$6:$C$505,$A20)=0),"",IFERROR(SUMIFS('2 Sản lượng theo ca'!$U$6:$U$505,'2 Sản lượng theo ca'!$A$6:$A$505,$B$4,'2 Sản lượng theo ca'!$B$6:$B$505,$D$4,'2 Sản lượng theo ca'!$C$6:$C$505,$A20)/SUMIFS('2 Sản lượng theo ca'!$P$6:$P$505,'2 Sản lượng theo ca'!$A$6:$A$505,$B$4,'2 Sản lượng theo ca'!$B$6:$B$505,$D$4,'2 Sản lượng theo ca'!$C$6:$C$505,$A20),""))</f>
        <v/>
      </c>
    </row>
    <row r="21" spans="1:13" x14ac:dyDescent="0.2">
      <c r="A21" s="33" t="str">
        <f>IF(INDEX(DS_MAY,15)="","",INDEX(DS_MAY,15))</f>
        <v/>
      </c>
      <c r="B21" s="42" t="str">
        <f>IF(OR($A21="",COUNTIFS('2 Sản lượng theo ca'!$A$6:$A$505,$B$4,'2 Sản lượng theo ca'!$B$6:$B$505,$D$4,'2 Sản lượng theo ca'!$C$6:$C$505,$A21)=0),"",IFERROR(INDEX('2 Sản lượng theo ca'!$D$6:$D$505,MATCH($B$4&amp;"|"&amp;$D$4&amp;"|"&amp;$A21,'2 Sản lượng theo ca'!$Y$6:$Y$505,0))&amp;"",""))</f>
        <v/>
      </c>
      <c r="C21" s="42" t="str">
        <f>IF(OR($A21="",COUNTIFS('2 Sản lượng theo ca'!$A$6:$A$505,$B$4,'2 Sản lượng theo ca'!$B$6:$B$505,$D$4,'2 Sản lượng theo ca'!$C$6:$C$505,$A21)=0),"",IFERROR(INDEX('2 Sản lượng theo ca'!$E$6:$E$505,MATCH($B$4&amp;"|"&amp;$D$4&amp;"|"&amp;$A21,'2 Sản lượng theo ca'!$Y$6:$Y$505,0))&amp;"",""))</f>
        <v/>
      </c>
      <c r="D21" s="42" t="str">
        <f>IF(OR($A21="",COUNTIFS('2 Sản lượng theo ca'!$A$6:$A$505,$B$4,'2 Sản lượng theo ca'!$B$6:$B$505,$D$4,'2 Sản lượng theo ca'!$C$6:$C$505,$A21)=0),"",IFERROR(INDEX('2 Sản lượng theo ca'!$F$6:$F$505,MATCH($B$4&amp;"|"&amp;$D$4&amp;"|"&amp;$A21,'2 Sản lượng theo ca'!$Y$6:$Y$505,0))&amp;"",""))</f>
        <v/>
      </c>
      <c r="E21" s="43" t="str">
        <f>IF(OR($A21="",COUNTIFS('2 Sản lượng theo ca'!$A$6:$A$505,$B$4,'2 Sản lượng theo ca'!$B$6:$B$505,$D$4,'2 Sản lượng theo ca'!$C$6:$C$505,$A21)=0),"",SUMIFS('2 Sản lượng theo ca'!$G$6:$G$505,'2 Sản lượng theo ca'!$A$6:$A$505,$B$4,'2 Sản lượng theo ca'!$B$6:$B$505,$D$4,'2 Sản lượng theo ca'!$C$6:$C$505,$A21))</f>
        <v/>
      </c>
      <c r="F21" s="43" t="str">
        <f>IF(OR($A21="",COUNTIFS('2 Sản lượng theo ca'!$A$6:$A$505,$B$4,'2 Sản lượng theo ca'!$B$6:$B$505,$D$4,'2 Sản lượng theo ca'!$C$6:$C$505,$A21)=0),"",SUMIFS('2 Sản lượng theo ca'!$H$6:$H$505,'2 Sản lượng theo ca'!$A$6:$A$505,$B$4,'2 Sản lượng theo ca'!$B$6:$B$505,$D$4,'2 Sản lượng theo ca'!$C$6:$C$505,$A21))</f>
        <v/>
      </c>
      <c r="G21" s="43" t="str">
        <f>IF(OR($A21="",COUNTIFS('2 Sản lượng theo ca'!$A$6:$A$505,$B$4,'2 Sản lượng theo ca'!$B$6:$B$505,$D$4,'2 Sản lượng theo ca'!$C$6:$C$505,$A21)=0),"",SUMIFS('2 Sản lượng theo ca'!$I$6:$I$505,'2 Sản lượng theo ca'!$A$6:$A$505,$B$4,'2 Sản lượng theo ca'!$B$6:$B$505,$D$4,'2 Sản lượng theo ca'!$C$6:$C$505,$A21))</f>
        <v/>
      </c>
      <c r="H21" s="43" t="str">
        <f>IF(OR($A21="",COUNTIFS('2 Sản lượng theo ca'!$A$6:$A$505,$B$4,'2 Sản lượng theo ca'!$B$6:$B$505,$D$4,'2 Sản lượng theo ca'!$C$6:$C$505,$A21)=0),"",SUMIFS('2 Sản lượng theo ca'!$L$6:$L$505,'2 Sản lượng theo ca'!$A$6:$A$505,$B$4,'2 Sản lượng theo ca'!$B$6:$B$505,$D$4,'2 Sản lượng theo ca'!$C$6:$C$505,$A21))</f>
        <v/>
      </c>
      <c r="I21" s="44" t="str">
        <f>IF(OR(OR($A21="",COUNTIFS('2 Sản lượng theo ca'!$A$6:$A$505,$B$4,'2 Sản lượng theo ca'!$B$6:$B$505,$D$4,'2 Sản lượng theo ca'!$C$6:$C$505,$A21)=0),N(E21)&lt;=0),"",H21/E21)</f>
        <v/>
      </c>
      <c r="J21" s="43" t="str">
        <f>IF(OR($A21="",COUNTIFS('2 Sản lượng theo ca'!$A$6:$A$505,$B$4,'2 Sản lượng theo ca'!$B$6:$B$505,$D$4,'2 Sản lượng theo ca'!$C$6:$C$505,$A21)=0),"",SUMIFS('2 Sản lượng theo ca'!$Q$6:$Q$505,'2 Sản lượng theo ca'!$A$6:$A$505,$B$4,'2 Sản lượng theo ca'!$B$6:$B$505,$D$4,'2 Sản lượng theo ca'!$C$6:$C$505,$A21))</f>
        <v/>
      </c>
      <c r="K21" s="42" t="str">
        <f>IF(OR($A21="",COUNTIFS('2 Sản lượng theo ca'!$A$6:$A$505,$B$4,'2 Sản lượng theo ca'!$B$6:$B$505,$D$4,'2 Sản lượng theo ca'!$C$6:$C$505,$A21)=0),"",SUMIFS('2 Sản lượng theo ca'!$R$6:$R$505,'2 Sản lượng theo ca'!$A$6:$A$505,$B$4,'2 Sản lượng theo ca'!$B$6:$B$505,$D$4,'2 Sản lượng theo ca'!$C$6:$C$505,$A21))</f>
        <v/>
      </c>
      <c r="L21" s="45" t="str">
        <f>IF(OR($A21="",COUNTIFS('2 Sản lượng theo ca'!$A$6:$A$505,$B$4,'2 Sản lượng theo ca'!$B$6:$B$505,$D$4,'2 Sản lượng theo ca'!$C$6:$C$505,$A21)=0),"",SUMIFS('2 Sản lượng theo ca'!$T$6:$T$505,'2 Sản lượng theo ca'!$A$6:$A$505,$B$4,'2 Sản lượng theo ca'!$B$6:$B$505,$D$4,'2 Sản lượng theo ca'!$C$6:$C$505,$A21))</f>
        <v/>
      </c>
      <c r="M21" s="44" t="str">
        <f>IF(OR($A21="",COUNTIFS('2 Sản lượng theo ca'!$A$6:$A$505,$B$4,'2 Sản lượng theo ca'!$B$6:$B$505,$D$4,'2 Sản lượng theo ca'!$C$6:$C$505,$A21)=0),"",IFERROR(SUMIFS('2 Sản lượng theo ca'!$U$6:$U$505,'2 Sản lượng theo ca'!$A$6:$A$505,$B$4,'2 Sản lượng theo ca'!$B$6:$B$505,$D$4,'2 Sản lượng theo ca'!$C$6:$C$505,$A21)/SUMIFS('2 Sản lượng theo ca'!$P$6:$P$505,'2 Sản lượng theo ca'!$A$6:$A$505,$B$4,'2 Sản lượng theo ca'!$B$6:$B$505,$D$4,'2 Sản lượng theo ca'!$C$6:$C$505,$A21),""))</f>
        <v/>
      </c>
    </row>
    <row r="22" spans="1:13" x14ac:dyDescent="0.2">
      <c r="A22" s="33" t="str">
        <f>IF(INDEX(DS_MAY,16)="","",INDEX(DS_MAY,16))</f>
        <v/>
      </c>
      <c r="B22" s="42" t="str">
        <f>IF(OR($A22="",COUNTIFS('2 Sản lượng theo ca'!$A$6:$A$505,$B$4,'2 Sản lượng theo ca'!$B$6:$B$505,$D$4,'2 Sản lượng theo ca'!$C$6:$C$505,$A22)=0),"",IFERROR(INDEX('2 Sản lượng theo ca'!$D$6:$D$505,MATCH($B$4&amp;"|"&amp;$D$4&amp;"|"&amp;$A22,'2 Sản lượng theo ca'!$Y$6:$Y$505,0))&amp;"",""))</f>
        <v/>
      </c>
      <c r="C22" s="42" t="str">
        <f>IF(OR($A22="",COUNTIFS('2 Sản lượng theo ca'!$A$6:$A$505,$B$4,'2 Sản lượng theo ca'!$B$6:$B$505,$D$4,'2 Sản lượng theo ca'!$C$6:$C$505,$A22)=0),"",IFERROR(INDEX('2 Sản lượng theo ca'!$E$6:$E$505,MATCH($B$4&amp;"|"&amp;$D$4&amp;"|"&amp;$A22,'2 Sản lượng theo ca'!$Y$6:$Y$505,0))&amp;"",""))</f>
        <v/>
      </c>
      <c r="D22" s="42" t="str">
        <f>IF(OR($A22="",COUNTIFS('2 Sản lượng theo ca'!$A$6:$A$505,$B$4,'2 Sản lượng theo ca'!$B$6:$B$505,$D$4,'2 Sản lượng theo ca'!$C$6:$C$505,$A22)=0),"",IFERROR(INDEX('2 Sản lượng theo ca'!$F$6:$F$505,MATCH($B$4&amp;"|"&amp;$D$4&amp;"|"&amp;$A22,'2 Sản lượng theo ca'!$Y$6:$Y$505,0))&amp;"",""))</f>
        <v/>
      </c>
      <c r="E22" s="43" t="str">
        <f>IF(OR($A22="",COUNTIFS('2 Sản lượng theo ca'!$A$6:$A$505,$B$4,'2 Sản lượng theo ca'!$B$6:$B$505,$D$4,'2 Sản lượng theo ca'!$C$6:$C$505,$A22)=0),"",SUMIFS('2 Sản lượng theo ca'!$G$6:$G$505,'2 Sản lượng theo ca'!$A$6:$A$505,$B$4,'2 Sản lượng theo ca'!$B$6:$B$505,$D$4,'2 Sản lượng theo ca'!$C$6:$C$505,$A22))</f>
        <v/>
      </c>
      <c r="F22" s="43" t="str">
        <f>IF(OR($A22="",COUNTIFS('2 Sản lượng theo ca'!$A$6:$A$505,$B$4,'2 Sản lượng theo ca'!$B$6:$B$505,$D$4,'2 Sản lượng theo ca'!$C$6:$C$505,$A22)=0),"",SUMIFS('2 Sản lượng theo ca'!$H$6:$H$505,'2 Sản lượng theo ca'!$A$6:$A$505,$B$4,'2 Sản lượng theo ca'!$B$6:$B$505,$D$4,'2 Sản lượng theo ca'!$C$6:$C$505,$A22))</f>
        <v/>
      </c>
      <c r="G22" s="43" t="str">
        <f>IF(OR($A22="",COUNTIFS('2 Sản lượng theo ca'!$A$6:$A$505,$B$4,'2 Sản lượng theo ca'!$B$6:$B$505,$D$4,'2 Sản lượng theo ca'!$C$6:$C$505,$A22)=0),"",SUMIFS('2 Sản lượng theo ca'!$I$6:$I$505,'2 Sản lượng theo ca'!$A$6:$A$505,$B$4,'2 Sản lượng theo ca'!$B$6:$B$505,$D$4,'2 Sản lượng theo ca'!$C$6:$C$505,$A22))</f>
        <v/>
      </c>
      <c r="H22" s="43" t="str">
        <f>IF(OR($A22="",COUNTIFS('2 Sản lượng theo ca'!$A$6:$A$505,$B$4,'2 Sản lượng theo ca'!$B$6:$B$505,$D$4,'2 Sản lượng theo ca'!$C$6:$C$505,$A22)=0),"",SUMIFS('2 Sản lượng theo ca'!$L$6:$L$505,'2 Sản lượng theo ca'!$A$6:$A$505,$B$4,'2 Sản lượng theo ca'!$B$6:$B$505,$D$4,'2 Sản lượng theo ca'!$C$6:$C$505,$A22))</f>
        <v/>
      </c>
      <c r="I22" s="44" t="str">
        <f>IF(OR(OR($A22="",COUNTIFS('2 Sản lượng theo ca'!$A$6:$A$505,$B$4,'2 Sản lượng theo ca'!$B$6:$B$505,$D$4,'2 Sản lượng theo ca'!$C$6:$C$505,$A22)=0),N(E22)&lt;=0),"",H22/E22)</f>
        <v/>
      </c>
      <c r="J22" s="43" t="str">
        <f>IF(OR($A22="",COUNTIFS('2 Sản lượng theo ca'!$A$6:$A$505,$B$4,'2 Sản lượng theo ca'!$B$6:$B$505,$D$4,'2 Sản lượng theo ca'!$C$6:$C$505,$A22)=0),"",SUMIFS('2 Sản lượng theo ca'!$Q$6:$Q$505,'2 Sản lượng theo ca'!$A$6:$A$505,$B$4,'2 Sản lượng theo ca'!$B$6:$B$505,$D$4,'2 Sản lượng theo ca'!$C$6:$C$505,$A22))</f>
        <v/>
      </c>
      <c r="K22" s="42" t="str">
        <f>IF(OR($A22="",COUNTIFS('2 Sản lượng theo ca'!$A$6:$A$505,$B$4,'2 Sản lượng theo ca'!$B$6:$B$505,$D$4,'2 Sản lượng theo ca'!$C$6:$C$505,$A22)=0),"",SUMIFS('2 Sản lượng theo ca'!$R$6:$R$505,'2 Sản lượng theo ca'!$A$6:$A$505,$B$4,'2 Sản lượng theo ca'!$B$6:$B$505,$D$4,'2 Sản lượng theo ca'!$C$6:$C$505,$A22))</f>
        <v/>
      </c>
      <c r="L22" s="45" t="str">
        <f>IF(OR($A22="",COUNTIFS('2 Sản lượng theo ca'!$A$6:$A$505,$B$4,'2 Sản lượng theo ca'!$B$6:$B$505,$D$4,'2 Sản lượng theo ca'!$C$6:$C$505,$A22)=0),"",SUMIFS('2 Sản lượng theo ca'!$T$6:$T$505,'2 Sản lượng theo ca'!$A$6:$A$505,$B$4,'2 Sản lượng theo ca'!$B$6:$B$505,$D$4,'2 Sản lượng theo ca'!$C$6:$C$505,$A22))</f>
        <v/>
      </c>
      <c r="M22" s="44" t="str">
        <f>IF(OR($A22="",COUNTIFS('2 Sản lượng theo ca'!$A$6:$A$505,$B$4,'2 Sản lượng theo ca'!$B$6:$B$505,$D$4,'2 Sản lượng theo ca'!$C$6:$C$505,$A22)=0),"",IFERROR(SUMIFS('2 Sản lượng theo ca'!$U$6:$U$505,'2 Sản lượng theo ca'!$A$6:$A$505,$B$4,'2 Sản lượng theo ca'!$B$6:$B$505,$D$4,'2 Sản lượng theo ca'!$C$6:$C$505,$A22)/SUMIFS('2 Sản lượng theo ca'!$P$6:$P$505,'2 Sản lượng theo ca'!$A$6:$A$505,$B$4,'2 Sản lượng theo ca'!$B$6:$B$505,$D$4,'2 Sản lượng theo ca'!$C$6:$C$505,$A22),""))</f>
        <v/>
      </c>
    </row>
    <row r="23" spans="1:13" x14ac:dyDescent="0.2">
      <c r="A23" s="33" t="str">
        <f>IF(INDEX(DS_MAY,17)="","",INDEX(DS_MAY,17))</f>
        <v/>
      </c>
      <c r="B23" s="42" t="str">
        <f>IF(OR($A23="",COUNTIFS('2 Sản lượng theo ca'!$A$6:$A$505,$B$4,'2 Sản lượng theo ca'!$B$6:$B$505,$D$4,'2 Sản lượng theo ca'!$C$6:$C$505,$A23)=0),"",IFERROR(INDEX('2 Sản lượng theo ca'!$D$6:$D$505,MATCH($B$4&amp;"|"&amp;$D$4&amp;"|"&amp;$A23,'2 Sản lượng theo ca'!$Y$6:$Y$505,0))&amp;"",""))</f>
        <v/>
      </c>
      <c r="C23" s="42" t="str">
        <f>IF(OR($A23="",COUNTIFS('2 Sản lượng theo ca'!$A$6:$A$505,$B$4,'2 Sản lượng theo ca'!$B$6:$B$505,$D$4,'2 Sản lượng theo ca'!$C$6:$C$505,$A23)=0),"",IFERROR(INDEX('2 Sản lượng theo ca'!$E$6:$E$505,MATCH($B$4&amp;"|"&amp;$D$4&amp;"|"&amp;$A23,'2 Sản lượng theo ca'!$Y$6:$Y$505,0))&amp;"",""))</f>
        <v/>
      </c>
      <c r="D23" s="42" t="str">
        <f>IF(OR($A23="",COUNTIFS('2 Sản lượng theo ca'!$A$6:$A$505,$B$4,'2 Sản lượng theo ca'!$B$6:$B$505,$D$4,'2 Sản lượng theo ca'!$C$6:$C$505,$A23)=0),"",IFERROR(INDEX('2 Sản lượng theo ca'!$F$6:$F$505,MATCH($B$4&amp;"|"&amp;$D$4&amp;"|"&amp;$A23,'2 Sản lượng theo ca'!$Y$6:$Y$505,0))&amp;"",""))</f>
        <v/>
      </c>
      <c r="E23" s="43" t="str">
        <f>IF(OR($A23="",COUNTIFS('2 Sản lượng theo ca'!$A$6:$A$505,$B$4,'2 Sản lượng theo ca'!$B$6:$B$505,$D$4,'2 Sản lượng theo ca'!$C$6:$C$505,$A23)=0),"",SUMIFS('2 Sản lượng theo ca'!$G$6:$G$505,'2 Sản lượng theo ca'!$A$6:$A$505,$B$4,'2 Sản lượng theo ca'!$B$6:$B$505,$D$4,'2 Sản lượng theo ca'!$C$6:$C$505,$A23))</f>
        <v/>
      </c>
      <c r="F23" s="43" t="str">
        <f>IF(OR($A23="",COUNTIFS('2 Sản lượng theo ca'!$A$6:$A$505,$B$4,'2 Sản lượng theo ca'!$B$6:$B$505,$D$4,'2 Sản lượng theo ca'!$C$6:$C$505,$A23)=0),"",SUMIFS('2 Sản lượng theo ca'!$H$6:$H$505,'2 Sản lượng theo ca'!$A$6:$A$505,$B$4,'2 Sản lượng theo ca'!$B$6:$B$505,$D$4,'2 Sản lượng theo ca'!$C$6:$C$505,$A23))</f>
        <v/>
      </c>
      <c r="G23" s="43" t="str">
        <f>IF(OR($A23="",COUNTIFS('2 Sản lượng theo ca'!$A$6:$A$505,$B$4,'2 Sản lượng theo ca'!$B$6:$B$505,$D$4,'2 Sản lượng theo ca'!$C$6:$C$505,$A23)=0),"",SUMIFS('2 Sản lượng theo ca'!$I$6:$I$505,'2 Sản lượng theo ca'!$A$6:$A$505,$B$4,'2 Sản lượng theo ca'!$B$6:$B$505,$D$4,'2 Sản lượng theo ca'!$C$6:$C$505,$A23))</f>
        <v/>
      </c>
      <c r="H23" s="43" t="str">
        <f>IF(OR($A23="",COUNTIFS('2 Sản lượng theo ca'!$A$6:$A$505,$B$4,'2 Sản lượng theo ca'!$B$6:$B$505,$D$4,'2 Sản lượng theo ca'!$C$6:$C$505,$A23)=0),"",SUMIFS('2 Sản lượng theo ca'!$L$6:$L$505,'2 Sản lượng theo ca'!$A$6:$A$505,$B$4,'2 Sản lượng theo ca'!$B$6:$B$505,$D$4,'2 Sản lượng theo ca'!$C$6:$C$505,$A23))</f>
        <v/>
      </c>
      <c r="I23" s="44" t="str">
        <f>IF(OR(OR($A23="",COUNTIFS('2 Sản lượng theo ca'!$A$6:$A$505,$B$4,'2 Sản lượng theo ca'!$B$6:$B$505,$D$4,'2 Sản lượng theo ca'!$C$6:$C$505,$A23)=0),N(E23)&lt;=0),"",H23/E23)</f>
        <v/>
      </c>
      <c r="J23" s="43" t="str">
        <f>IF(OR($A23="",COUNTIFS('2 Sản lượng theo ca'!$A$6:$A$505,$B$4,'2 Sản lượng theo ca'!$B$6:$B$505,$D$4,'2 Sản lượng theo ca'!$C$6:$C$505,$A23)=0),"",SUMIFS('2 Sản lượng theo ca'!$Q$6:$Q$505,'2 Sản lượng theo ca'!$A$6:$A$505,$B$4,'2 Sản lượng theo ca'!$B$6:$B$505,$D$4,'2 Sản lượng theo ca'!$C$6:$C$505,$A23))</f>
        <v/>
      </c>
      <c r="K23" s="42" t="str">
        <f>IF(OR($A23="",COUNTIFS('2 Sản lượng theo ca'!$A$6:$A$505,$B$4,'2 Sản lượng theo ca'!$B$6:$B$505,$D$4,'2 Sản lượng theo ca'!$C$6:$C$505,$A23)=0),"",SUMIFS('2 Sản lượng theo ca'!$R$6:$R$505,'2 Sản lượng theo ca'!$A$6:$A$505,$B$4,'2 Sản lượng theo ca'!$B$6:$B$505,$D$4,'2 Sản lượng theo ca'!$C$6:$C$505,$A23))</f>
        <v/>
      </c>
      <c r="L23" s="45" t="str">
        <f>IF(OR($A23="",COUNTIFS('2 Sản lượng theo ca'!$A$6:$A$505,$B$4,'2 Sản lượng theo ca'!$B$6:$B$505,$D$4,'2 Sản lượng theo ca'!$C$6:$C$505,$A23)=0),"",SUMIFS('2 Sản lượng theo ca'!$T$6:$T$505,'2 Sản lượng theo ca'!$A$6:$A$505,$B$4,'2 Sản lượng theo ca'!$B$6:$B$505,$D$4,'2 Sản lượng theo ca'!$C$6:$C$505,$A23))</f>
        <v/>
      </c>
      <c r="M23" s="44" t="str">
        <f>IF(OR($A23="",COUNTIFS('2 Sản lượng theo ca'!$A$6:$A$505,$B$4,'2 Sản lượng theo ca'!$B$6:$B$505,$D$4,'2 Sản lượng theo ca'!$C$6:$C$505,$A23)=0),"",IFERROR(SUMIFS('2 Sản lượng theo ca'!$U$6:$U$505,'2 Sản lượng theo ca'!$A$6:$A$505,$B$4,'2 Sản lượng theo ca'!$B$6:$B$505,$D$4,'2 Sản lượng theo ca'!$C$6:$C$505,$A23)/SUMIFS('2 Sản lượng theo ca'!$P$6:$P$505,'2 Sản lượng theo ca'!$A$6:$A$505,$B$4,'2 Sản lượng theo ca'!$B$6:$B$505,$D$4,'2 Sản lượng theo ca'!$C$6:$C$505,$A23),""))</f>
        <v/>
      </c>
    </row>
    <row r="24" spans="1:13" x14ac:dyDescent="0.2">
      <c r="A24" s="33" t="str">
        <f>IF(INDEX(DS_MAY,18)="","",INDEX(DS_MAY,18))</f>
        <v/>
      </c>
      <c r="B24" s="42" t="str">
        <f>IF(OR($A24="",COUNTIFS('2 Sản lượng theo ca'!$A$6:$A$505,$B$4,'2 Sản lượng theo ca'!$B$6:$B$505,$D$4,'2 Sản lượng theo ca'!$C$6:$C$505,$A24)=0),"",IFERROR(INDEX('2 Sản lượng theo ca'!$D$6:$D$505,MATCH($B$4&amp;"|"&amp;$D$4&amp;"|"&amp;$A24,'2 Sản lượng theo ca'!$Y$6:$Y$505,0))&amp;"",""))</f>
        <v/>
      </c>
      <c r="C24" s="42" t="str">
        <f>IF(OR($A24="",COUNTIFS('2 Sản lượng theo ca'!$A$6:$A$505,$B$4,'2 Sản lượng theo ca'!$B$6:$B$505,$D$4,'2 Sản lượng theo ca'!$C$6:$C$505,$A24)=0),"",IFERROR(INDEX('2 Sản lượng theo ca'!$E$6:$E$505,MATCH($B$4&amp;"|"&amp;$D$4&amp;"|"&amp;$A24,'2 Sản lượng theo ca'!$Y$6:$Y$505,0))&amp;"",""))</f>
        <v/>
      </c>
      <c r="D24" s="42" t="str">
        <f>IF(OR($A24="",COUNTIFS('2 Sản lượng theo ca'!$A$6:$A$505,$B$4,'2 Sản lượng theo ca'!$B$6:$B$505,$D$4,'2 Sản lượng theo ca'!$C$6:$C$505,$A24)=0),"",IFERROR(INDEX('2 Sản lượng theo ca'!$F$6:$F$505,MATCH($B$4&amp;"|"&amp;$D$4&amp;"|"&amp;$A24,'2 Sản lượng theo ca'!$Y$6:$Y$505,0))&amp;"",""))</f>
        <v/>
      </c>
      <c r="E24" s="43" t="str">
        <f>IF(OR($A24="",COUNTIFS('2 Sản lượng theo ca'!$A$6:$A$505,$B$4,'2 Sản lượng theo ca'!$B$6:$B$505,$D$4,'2 Sản lượng theo ca'!$C$6:$C$505,$A24)=0),"",SUMIFS('2 Sản lượng theo ca'!$G$6:$G$505,'2 Sản lượng theo ca'!$A$6:$A$505,$B$4,'2 Sản lượng theo ca'!$B$6:$B$505,$D$4,'2 Sản lượng theo ca'!$C$6:$C$505,$A24))</f>
        <v/>
      </c>
      <c r="F24" s="43" t="str">
        <f>IF(OR($A24="",COUNTIFS('2 Sản lượng theo ca'!$A$6:$A$505,$B$4,'2 Sản lượng theo ca'!$B$6:$B$505,$D$4,'2 Sản lượng theo ca'!$C$6:$C$505,$A24)=0),"",SUMIFS('2 Sản lượng theo ca'!$H$6:$H$505,'2 Sản lượng theo ca'!$A$6:$A$505,$B$4,'2 Sản lượng theo ca'!$B$6:$B$505,$D$4,'2 Sản lượng theo ca'!$C$6:$C$505,$A24))</f>
        <v/>
      </c>
      <c r="G24" s="43" t="str">
        <f>IF(OR($A24="",COUNTIFS('2 Sản lượng theo ca'!$A$6:$A$505,$B$4,'2 Sản lượng theo ca'!$B$6:$B$505,$D$4,'2 Sản lượng theo ca'!$C$6:$C$505,$A24)=0),"",SUMIFS('2 Sản lượng theo ca'!$I$6:$I$505,'2 Sản lượng theo ca'!$A$6:$A$505,$B$4,'2 Sản lượng theo ca'!$B$6:$B$505,$D$4,'2 Sản lượng theo ca'!$C$6:$C$505,$A24))</f>
        <v/>
      </c>
      <c r="H24" s="43" t="str">
        <f>IF(OR($A24="",COUNTIFS('2 Sản lượng theo ca'!$A$6:$A$505,$B$4,'2 Sản lượng theo ca'!$B$6:$B$505,$D$4,'2 Sản lượng theo ca'!$C$6:$C$505,$A24)=0),"",SUMIFS('2 Sản lượng theo ca'!$L$6:$L$505,'2 Sản lượng theo ca'!$A$6:$A$505,$B$4,'2 Sản lượng theo ca'!$B$6:$B$505,$D$4,'2 Sản lượng theo ca'!$C$6:$C$505,$A24))</f>
        <v/>
      </c>
      <c r="I24" s="44" t="str">
        <f>IF(OR(OR($A24="",COUNTIFS('2 Sản lượng theo ca'!$A$6:$A$505,$B$4,'2 Sản lượng theo ca'!$B$6:$B$505,$D$4,'2 Sản lượng theo ca'!$C$6:$C$505,$A24)=0),N(E24)&lt;=0),"",H24/E24)</f>
        <v/>
      </c>
      <c r="J24" s="43" t="str">
        <f>IF(OR($A24="",COUNTIFS('2 Sản lượng theo ca'!$A$6:$A$505,$B$4,'2 Sản lượng theo ca'!$B$6:$B$505,$D$4,'2 Sản lượng theo ca'!$C$6:$C$505,$A24)=0),"",SUMIFS('2 Sản lượng theo ca'!$Q$6:$Q$505,'2 Sản lượng theo ca'!$A$6:$A$505,$B$4,'2 Sản lượng theo ca'!$B$6:$B$505,$D$4,'2 Sản lượng theo ca'!$C$6:$C$505,$A24))</f>
        <v/>
      </c>
      <c r="K24" s="42" t="str">
        <f>IF(OR($A24="",COUNTIFS('2 Sản lượng theo ca'!$A$6:$A$505,$B$4,'2 Sản lượng theo ca'!$B$6:$B$505,$D$4,'2 Sản lượng theo ca'!$C$6:$C$505,$A24)=0),"",SUMIFS('2 Sản lượng theo ca'!$R$6:$R$505,'2 Sản lượng theo ca'!$A$6:$A$505,$B$4,'2 Sản lượng theo ca'!$B$6:$B$505,$D$4,'2 Sản lượng theo ca'!$C$6:$C$505,$A24))</f>
        <v/>
      </c>
      <c r="L24" s="45" t="str">
        <f>IF(OR($A24="",COUNTIFS('2 Sản lượng theo ca'!$A$6:$A$505,$B$4,'2 Sản lượng theo ca'!$B$6:$B$505,$D$4,'2 Sản lượng theo ca'!$C$6:$C$505,$A24)=0),"",SUMIFS('2 Sản lượng theo ca'!$T$6:$T$505,'2 Sản lượng theo ca'!$A$6:$A$505,$B$4,'2 Sản lượng theo ca'!$B$6:$B$505,$D$4,'2 Sản lượng theo ca'!$C$6:$C$505,$A24))</f>
        <v/>
      </c>
      <c r="M24" s="44" t="str">
        <f>IF(OR($A24="",COUNTIFS('2 Sản lượng theo ca'!$A$6:$A$505,$B$4,'2 Sản lượng theo ca'!$B$6:$B$505,$D$4,'2 Sản lượng theo ca'!$C$6:$C$505,$A24)=0),"",IFERROR(SUMIFS('2 Sản lượng theo ca'!$U$6:$U$505,'2 Sản lượng theo ca'!$A$6:$A$505,$B$4,'2 Sản lượng theo ca'!$B$6:$B$505,$D$4,'2 Sản lượng theo ca'!$C$6:$C$505,$A24)/SUMIFS('2 Sản lượng theo ca'!$P$6:$P$505,'2 Sản lượng theo ca'!$A$6:$A$505,$B$4,'2 Sản lượng theo ca'!$B$6:$B$505,$D$4,'2 Sản lượng theo ca'!$C$6:$C$505,$A24),""))</f>
        <v/>
      </c>
    </row>
    <row r="25" spans="1:13" x14ac:dyDescent="0.2">
      <c r="A25" s="33" t="str">
        <f>IF(INDEX(DS_MAY,19)="","",INDEX(DS_MAY,19))</f>
        <v/>
      </c>
      <c r="B25" s="42" t="str">
        <f>IF(OR($A25="",COUNTIFS('2 Sản lượng theo ca'!$A$6:$A$505,$B$4,'2 Sản lượng theo ca'!$B$6:$B$505,$D$4,'2 Sản lượng theo ca'!$C$6:$C$505,$A25)=0),"",IFERROR(INDEX('2 Sản lượng theo ca'!$D$6:$D$505,MATCH($B$4&amp;"|"&amp;$D$4&amp;"|"&amp;$A25,'2 Sản lượng theo ca'!$Y$6:$Y$505,0))&amp;"",""))</f>
        <v/>
      </c>
      <c r="C25" s="42" t="str">
        <f>IF(OR($A25="",COUNTIFS('2 Sản lượng theo ca'!$A$6:$A$505,$B$4,'2 Sản lượng theo ca'!$B$6:$B$505,$D$4,'2 Sản lượng theo ca'!$C$6:$C$505,$A25)=0),"",IFERROR(INDEX('2 Sản lượng theo ca'!$E$6:$E$505,MATCH($B$4&amp;"|"&amp;$D$4&amp;"|"&amp;$A25,'2 Sản lượng theo ca'!$Y$6:$Y$505,0))&amp;"",""))</f>
        <v/>
      </c>
      <c r="D25" s="42" t="str">
        <f>IF(OR($A25="",COUNTIFS('2 Sản lượng theo ca'!$A$6:$A$505,$B$4,'2 Sản lượng theo ca'!$B$6:$B$505,$D$4,'2 Sản lượng theo ca'!$C$6:$C$505,$A25)=0),"",IFERROR(INDEX('2 Sản lượng theo ca'!$F$6:$F$505,MATCH($B$4&amp;"|"&amp;$D$4&amp;"|"&amp;$A25,'2 Sản lượng theo ca'!$Y$6:$Y$505,0))&amp;"",""))</f>
        <v/>
      </c>
      <c r="E25" s="43" t="str">
        <f>IF(OR($A25="",COUNTIFS('2 Sản lượng theo ca'!$A$6:$A$505,$B$4,'2 Sản lượng theo ca'!$B$6:$B$505,$D$4,'2 Sản lượng theo ca'!$C$6:$C$505,$A25)=0),"",SUMIFS('2 Sản lượng theo ca'!$G$6:$G$505,'2 Sản lượng theo ca'!$A$6:$A$505,$B$4,'2 Sản lượng theo ca'!$B$6:$B$505,$D$4,'2 Sản lượng theo ca'!$C$6:$C$505,$A25))</f>
        <v/>
      </c>
      <c r="F25" s="43" t="str">
        <f>IF(OR($A25="",COUNTIFS('2 Sản lượng theo ca'!$A$6:$A$505,$B$4,'2 Sản lượng theo ca'!$B$6:$B$505,$D$4,'2 Sản lượng theo ca'!$C$6:$C$505,$A25)=0),"",SUMIFS('2 Sản lượng theo ca'!$H$6:$H$505,'2 Sản lượng theo ca'!$A$6:$A$505,$B$4,'2 Sản lượng theo ca'!$B$6:$B$505,$D$4,'2 Sản lượng theo ca'!$C$6:$C$505,$A25))</f>
        <v/>
      </c>
      <c r="G25" s="43" t="str">
        <f>IF(OR($A25="",COUNTIFS('2 Sản lượng theo ca'!$A$6:$A$505,$B$4,'2 Sản lượng theo ca'!$B$6:$B$505,$D$4,'2 Sản lượng theo ca'!$C$6:$C$505,$A25)=0),"",SUMIFS('2 Sản lượng theo ca'!$I$6:$I$505,'2 Sản lượng theo ca'!$A$6:$A$505,$B$4,'2 Sản lượng theo ca'!$B$6:$B$505,$D$4,'2 Sản lượng theo ca'!$C$6:$C$505,$A25))</f>
        <v/>
      </c>
      <c r="H25" s="43" t="str">
        <f>IF(OR($A25="",COUNTIFS('2 Sản lượng theo ca'!$A$6:$A$505,$B$4,'2 Sản lượng theo ca'!$B$6:$B$505,$D$4,'2 Sản lượng theo ca'!$C$6:$C$505,$A25)=0),"",SUMIFS('2 Sản lượng theo ca'!$L$6:$L$505,'2 Sản lượng theo ca'!$A$6:$A$505,$B$4,'2 Sản lượng theo ca'!$B$6:$B$505,$D$4,'2 Sản lượng theo ca'!$C$6:$C$505,$A25))</f>
        <v/>
      </c>
      <c r="I25" s="44" t="str">
        <f>IF(OR(OR($A25="",COUNTIFS('2 Sản lượng theo ca'!$A$6:$A$505,$B$4,'2 Sản lượng theo ca'!$B$6:$B$505,$D$4,'2 Sản lượng theo ca'!$C$6:$C$505,$A25)=0),N(E25)&lt;=0),"",H25/E25)</f>
        <v/>
      </c>
      <c r="J25" s="43" t="str">
        <f>IF(OR($A25="",COUNTIFS('2 Sản lượng theo ca'!$A$6:$A$505,$B$4,'2 Sản lượng theo ca'!$B$6:$B$505,$D$4,'2 Sản lượng theo ca'!$C$6:$C$505,$A25)=0),"",SUMIFS('2 Sản lượng theo ca'!$Q$6:$Q$505,'2 Sản lượng theo ca'!$A$6:$A$505,$B$4,'2 Sản lượng theo ca'!$B$6:$B$505,$D$4,'2 Sản lượng theo ca'!$C$6:$C$505,$A25))</f>
        <v/>
      </c>
      <c r="K25" s="42" t="str">
        <f>IF(OR($A25="",COUNTIFS('2 Sản lượng theo ca'!$A$6:$A$505,$B$4,'2 Sản lượng theo ca'!$B$6:$B$505,$D$4,'2 Sản lượng theo ca'!$C$6:$C$505,$A25)=0),"",SUMIFS('2 Sản lượng theo ca'!$R$6:$R$505,'2 Sản lượng theo ca'!$A$6:$A$505,$B$4,'2 Sản lượng theo ca'!$B$6:$B$505,$D$4,'2 Sản lượng theo ca'!$C$6:$C$505,$A25))</f>
        <v/>
      </c>
      <c r="L25" s="45" t="str">
        <f>IF(OR($A25="",COUNTIFS('2 Sản lượng theo ca'!$A$6:$A$505,$B$4,'2 Sản lượng theo ca'!$B$6:$B$505,$D$4,'2 Sản lượng theo ca'!$C$6:$C$505,$A25)=0),"",SUMIFS('2 Sản lượng theo ca'!$T$6:$T$505,'2 Sản lượng theo ca'!$A$6:$A$505,$B$4,'2 Sản lượng theo ca'!$B$6:$B$505,$D$4,'2 Sản lượng theo ca'!$C$6:$C$505,$A25))</f>
        <v/>
      </c>
      <c r="M25" s="44" t="str">
        <f>IF(OR($A25="",COUNTIFS('2 Sản lượng theo ca'!$A$6:$A$505,$B$4,'2 Sản lượng theo ca'!$B$6:$B$505,$D$4,'2 Sản lượng theo ca'!$C$6:$C$505,$A25)=0),"",IFERROR(SUMIFS('2 Sản lượng theo ca'!$U$6:$U$505,'2 Sản lượng theo ca'!$A$6:$A$505,$B$4,'2 Sản lượng theo ca'!$B$6:$B$505,$D$4,'2 Sản lượng theo ca'!$C$6:$C$505,$A25)/SUMIFS('2 Sản lượng theo ca'!$P$6:$P$505,'2 Sản lượng theo ca'!$A$6:$A$505,$B$4,'2 Sản lượng theo ca'!$B$6:$B$505,$D$4,'2 Sản lượng theo ca'!$C$6:$C$505,$A25),""))</f>
        <v/>
      </c>
    </row>
    <row r="26" spans="1:13" x14ac:dyDescent="0.2">
      <c r="A26" s="33" t="str">
        <f>IF(INDEX(DS_MAY,20)="","",INDEX(DS_MAY,20))</f>
        <v/>
      </c>
      <c r="B26" s="42" t="str">
        <f>IF(OR($A26="",COUNTIFS('2 Sản lượng theo ca'!$A$6:$A$505,$B$4,'2 Sản lượng theo ca'!$B$6:$B$505,$D$4,'2 Sản lượng theo ca'!$C$6:$C$505,$A26)=0),"",IFERROR(INDEX('2 Sản lượng theo ca'!$D$6:$D$505,MATCH($B$4&amp;"|"&amp;$D$4&amp;"|"&amp;$A26,'2 Sản lượng theo ca'!$Y$6:$Y$505,0))&amp;"",""))</f>
        <v/>
      </c>
      <c r="C26" s="42" t="str">
        <f>IF(OR($A26="",COUNTIFS('2 Sản lượng theo ca'!$A$6:$A$505,$B$4,'2 Sản lượng theo ca'!$B$6:$B$505,$D$4,'2 Sản lượng theo ca'!$C$6:$C$505,$A26)=0),"",IFERROR(INDEX('2 Sản lượng theo ca'!$E$6:$E$505,MATCH($B$4&amp;"|"&amp;$D$4&amp;"|"&amp;$A26,'2 Sản lượng theo ca'!$Y$6:$Y$505,0))&amp;"",""))</f>
        <v/>
      </c>
      <c r="D26" s="42" t="str">
        <f>IF(OR($A26="",COUNTIFS('2 Sản lượng theo ca'!$A$6:$A$505,$B$4,'2 Sản lượng theo ca'!$B$6:$B$505,$D$4,'2 Sản lượng theo ca'!$C$6:$C$505,$A26)=0),"",IFERROR(INDEX('2 Sản lượng theo ca'!$F$6:$F$505,MATCH($B$4&amp;"|"&amp;$D$4&amp;"|"&amp;$A26,'2 Sản lượng theo ca'!$Y$6:$Y$505,0))&amp;"",""))</f>
        <v/>
      </c>
      <c r="E26" s="43" t="str">
        <f>IF(OR($A26="",COUNTIFS('2 Sản lượng theo ca'!$A$6:$A$505,$B$4,'2 Sản lượng theo ca'!$B$6:$B$505,$D$4,'2 Sản lượng theo ca'!$C$6:$C$505,$A26)=0),"",SUMIFS('2 Sản lượng theo ca'!$G$6:$G$505,'2 Sản lượng theo ca'!$A$6:$A$505,$B$4,'2 Sản lượng theo ca'!$B$6:$B$505,$D$4,'2 Sản lượng theo ca'!$C$6:$C$505,$A26))</f>
        <v/>
      </c>
      <c r="F26" s="43" t="str">
        <f>IF(OR($A26="",COUNTIFS('2 Sản lượng theo ca'!$A$6:$A$505,$B$4,'2 Sản lượng theo ca'!$B$6:$B$505,$D$4,'2 Sản lượng theo ca'!$C$6:$C$505,$A26)=0),"",SUMIFS('2 Sản lượng theo ca'!$H$6:$H$505,'2 Sản lượng theo ca'!$A$6:$A$505,$B$4,'2 Sản lượng theo ca'!$B$6:$B$505,$D$4,'2 Sản lượng theo ca'!$C$6:$C$505,$A26))</f>
        <v/>
      </c>
      <c r="G26" s="43" t="str">
        <f>IF(OR($A26="",COUNTIFS('2 Sản lượng theo ca'!$A$6:$A$505,$B$4,'2 Sản lượng theo ca'!$B$6:$B$505,$D$4,'2 Sản lượng theo ca'!$C$6:$C$505,$A26)=0),"",SUMIFS('2 Sản lượng theo ca'!$I$6:$I$505,'2 Sản lượng theo ca'!$A$6:$A$505,$B$4,'2 Sản lượng theo ca'!$B$6:$B$505,$D$4,'2 Sản lượng theo ca'!$C$6:$C$505,$A26))</f>
        <v/>
      </c>
      <c r="H26" s="43" t="str">
        <f>IF(OR($A26="",COUNTIFS('2 Sản lượng theo ca'!$A$6:$A$505,$B$4,'2 Sản lượng theo ca'!$B$6:$B$505,$D$4,'2 Sản lượng theo ca'!$C$6:$C$505,$A26)=0),"",SUMIFS('2 Sản lượng theo ca'!$L$6:$L$505,'2 Sản lượng theo ca'!$A$6:$A$505,$B$4,'2 Sản lượng theo ca'!$B$6:$B$505,$D$4,'2 Sản lượng theo ca'!$C$6:$C$505,$A26))</f>
        <v/>
      </c>
      <c r="I26" s="44" t="str">
        <f>IF(OR(OR($A26="",COUNTIFS('2 Sản lượng theo ca'!$A$6:$A$505,$B$4,'2 Sản lượng theo ca'!$B$6:$B$505,$D$4,'2 Sản lượng theo ca'!$C$6:$C$505,$A26)=0),N(E26)&lt;=0),"",H26/E26)</f>
        <v/>
      </c>
      <c r="J26" s="43" t="str">
        <f>IF(OR($A26="",COUNTIFS('2 Sản lượng theo ca'!$A$6:$A$505,$B$4,'2 Sản lượng theo ca'!$B$6:$B$505,$D$4,'2 Sản lượng theo ca'!$C$6:$C$505,$A26)=0),"",SUMIFS('2 Sản lượng theo ca'!$Q$6:$Q$505,'2 Sản lượng theo ca'!$A$6:$A$505,$B$4,'2 Sản lượng theo ca'!$B$6:$B$505,$D$4,'2 Sản lượng theo ca'!$C$6:$C$505,$A26))</f>
        <v/>
      </c>
      <c r="K26" s="42" t="str">
        <f>IF(OR($A26="",COUNTIFS('2 Sản lượng theo ca'!$A$6:$A$505,$B$4,'2 Sản lượng theo ca'!$B$6:$B$505,$D$4,'2 Sản lượng theo ca'!$C$6:$C$505,$A26)=0),"",SUMIFS('2 Sản lượng theo ca'!$R$6:$R$505,'2 Sản lượng theo ca'!$A$6:$A$505,$B$4,'2 Sản lượng theo ca'!$B$6:$B$505,$D$4,'2 Sản lượng theo ca'!$C$6:$C$505,$A26))</f>
        <v/>
      </c>
      <c r="L26" s="45" t="str">
        <f>IF(OR($A26="",COUNTIFS('2 Sản lượng theo ca'!$A$6:$A$505,$B$4,'2 Sản lượng theo ca'!$B$6:$B$505,$D$4,'2 Sản lượng theo ca'!$C$6:$C$505,$A26)=0),"",SUMIFS('2 Sản lượng theo ca'!$T$6:$T$505,'2 Sản lượng theo ca'!$A$6:$A$505,$B$4,'2 Sản lượng theo ca'!$B$6:$B$505,$D$4,'2 Sản lượng theo ca'!$C$6:$C$505,$A26))</f>
        <v/>
      </c>
      <c r="M26" s="44" t="str">
        <f>IF(OR($A26="",COUNTIFS('2 Sản lượng theo ca'!$A$6:$A$505,$B$4,'2 Sản lượng theo ca'!$B$6:$B$505,$D$4,'2 Sản lượng theo ca'!$C$6:$C$505,$A26)=0),"",IFERROR(SUMIFS('2 Sản lượng theo ca'!$U$6:$U$505,'2 Sản lượng theo ca'!$A$6:$A$505,$B$4,'2 Sản lượng theo ca'!$B$6:$B$505,$D$4,'2 Sản lượng theo ca'!$C$6:$C$505,$A26)/SUMIFS('2 Sản lượng theo ca'!$P$6:$P$505,'2 Sản lượng theo ca'!$A$6:$A$505,$B$4,'2 Sản lượng theo ca'!$B$6:$B$505,$D$4,'2 Sản lượng theo ca'!$C$6:$C$505,$A26),""))</f>
        <v/>
      </c>
    </row>
    <row r="27" spans="1:13" x14ac:dyDescent="0.2">
      <c r="A27" s="46" t="s">
        <v>182</v>
      </c>
      <c r="B27" s="47"/>
      <c r="C27" s="47"/>
      <c r="D27" s="47"/>
      <c r="E27" s="48">
        <f>SUMIFS('2 Sản lượng theo ca'!$G$6:$G$505,'2 Sản lượng theo ca'!$A$6:$A$505,$B$4,'2 Sản lượng theo ca'!$B$6:$B$505,$D$4)</f>
        <v>2580</v>
      </c>
      <c r="F27" s="48">
        <f>SUMIFS('2 Sản lượng theo ca'!$H$6:$H$505,'2 Sản lượng theo ca'!$A$6:$A$505,$B$4,'2 Sản lượng theo ca'!$B$6:$B$505,$D$4)</f>
        <v>3020</v>
      </c>
      <c r="G27" s="48">
        <f>SUMIFS('2 Sản lượng theo ca'!$I$6:$I$505,'2 Sản lượng theo ca'!$A$6:$A$505,$B$4,'2 Sản lượng theo ca'!$B$6:$B$505,$D$4)</f>
        <v>51</v>
      </c>
      <c r="H27" s="48">
        <f>SUMIFS('2 Sản lượng theo ca'!$L$6:$L$505,'2 Sản lượng theo ca'!$A$6:$A$505,$B$4,'2 Sản lượng theo ca'!$B$6:$B$505,$D$4)</f>
        <v>2969</v>
      </c>
      <c r="I27" s="32">
        <f>IF(N(E27)&lt;=0,"",H27/E27)</f>
        <v>1.1507751937984496</v>
      </c>
      <c r="J27" s="48">
        <f>SUMIFS('2 Sản lượng theo ca'!$Q$6:$Q$505,'2 Sản lượng theo ca'!$A$6:$A$505,$B$4,'2 Sản lượng theo ca'!$B$6:$B$505,$D$4)</f>
        <v>168</v>
      </c>
      <c r="K27" s="47">
        <f>SUMIFS('2 Sản lượng theo ca'!$R$6:$R$505,'2 Sản lượng theo ca'!$A$6:$A$505,$B$4,'2 Sản lượng theo ca'!$B$6:$B$505,$D$4)</f>
        <v>6</v>
      </c>
      <c r="L27" s="49">
        <f>SUMIFS('2 Sản lượng theo ca'!$T$6:$T$505,'2 Sản lượng theo ca'!$A$6:$A$505,$B$4,'2 Sản lượng theo ca'!$B$6:$B$505,$D$4)</f>
        <v>36.5</v>
      </c>
      <c r="M27" s="32">
        <f>IFERROR(SUMIFS('2 Sản lượng theo ca'!$U$6:$U$505,'2 Sản lượng theo ca'!$A$6:$A$505,$B$4,'2 Sản lượng theo ca'!$B$6:$B$505,$D$4)/SUMIFS('2 Sản lượng theo ca'!$P$6:$P$505,'2 Sản lượng theo ca'!$A$6:$A$505,$B$4,'2 Sản lượng theo ca'!$B$6:$B$505,$D$4),"")</f>
        <v>0.86145833333333333</v>
      </c>
    </row>
    <row r="29" spans="1:13" x14ac:dyDescent="0.2">
      <c r="A29" s="22" t="s">
        <v>183</v>
      </c>
    </row>
    <row r="30" spans="1:13" x14ac:dyDescent="0.2">
      <c r="A30" s="50"/>
      <c r="B30" s="50"/>
      <c r="C30" s="50"/>
      <c r="D30" s="50"/>
      <c r="E30" s="50"/>
      <c r="F30" s="50"/>
      <c r="G30" s="50"/>
      <c r="H30" s="50"/>
      <c r="I30" s="50"/>
      <c r="J30" s="50"/>
      <c r="K30" s="50"/>
      <c r="L30" s="50"/>
      <c r="M30" s="50"/>
    </row>
    <row r="31" spans="1:13" x14ac:dyDescent="0.2">
      <c r="A31" s="50"/>
      <c r="B31" s="50"/>
      <c r="C31" s="50"/>
      <c r="D31" s="50"/>
      <c r="E31" s="50"/>
      <c r="F31" s="50"/>
      <c r="G31" s="50"/>
      <c r="H31" s="50"/>
      <c r="I31" s="50"/>
      <c r="J31" s="50"/>
      <c r="K31" s="50"/>
      <c r="L31" s="50"/>
      <c r="M31" s="50"/>
    </row>
    <row r="32" spans="1:13" x14ac:dyDescent="0.2">
      <c r="A32" s="50"/>
      <c r="B32" s="50"/>
      <c r="C32" s="50"/>
      <c r="D32" s="50"/>
      <c r="E32" s="50"/>
      <c r="F32" s="50"/>
      <c r="G32" s="50"/>
      <c r="H32" s="50"/>
      <c r="I32" s="50"/>
      <c r="J32" s="50"/>
      <c r="K32" s="50"/>
      <c r="L32" s="50"/>
      <c r="M32" s="50"/>
    </row>
    <row r="34" spans="1:8" x14ac:dyDescent="0.2">
      <c r="A34" s="22" t="s">
        <v>184</v>
      </c>
      <c r="H34" s="22" t="s">
        <v>185</v>
      </c>
    </row>
    <row r="35" spans="1:8" x14ac:dyDescent="0.2">
      <c r="A35" s="24" t="s">
        <v>186</v>
      </c>
    </row>
  </sheetData>
  <conditionalFormatting sqref="M7:M27">
    <cfRule type="cellIs" dxfId="1" priority="1" operator="greaterThan">
      <formula>1</formula>
    </cfRule>
  </conditionalFormatting>
  <dataValidations count="1">
    <dataValidation type="list" allowBlank="1" showErrorMessage="1" errorTitle="Không có trong danh sách" error="Chọn từ danh sách ở trang 1 Danh mục." sqref="D4" xr:uid="{00000000-0002-0000-0500-000000000000}">
      <formula1>DS_CA</formula1>
    </dataValidation>
  </dataValidations>
  <hyperlinks>
    <hyperlink ref="A3" location="'Bắt đầu'!A1" display="← Về trang Bắt đầu" xr:uid="{00000000-0004-0000-0500-000000000000}"/>
  </hyperlinks>
  <pageMargins left="0.75" right="0.75" top="1" bottom="1" header="0.5" footer="0.5"/>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8"/>
  <sheetViews>
    <sheetView showGridLines="0" workbookViewId="0"/>
  </sheetViews>
  <sheetFormatPr baseColWidth="10" defaultColWidth="8.83203125" defaultRowHeight="15" x14ac:dyDescent="0.2"/>
  <cols>
    <col min="1" max="1" width="15" customWidth="1"/>
    <col min="2" max="2" width="26" customWidth="1"/>
    <col min="3" max="4" width="14" customWidth="1"/>
    <col min="5" max="5" width="8" customWidth="1"/>
    <col min="6" max="6" width="9" customWidth="1"/>
    <col min="7" max="7" width="9" hidden="1" customWidth="1"/>
    <col min="8" max="8" width="3" customWidth="1"/>
    <col min="9" max="10" width="6" customWidth="1"/>
    <col min="11" max="11" width="26" customWidth="1"/>
    <col min="12" max="12" width="8" customWidth="1"/>
    <col min="13" max="13" width="12" customWidth="1"/>
    <col min="14" max="14" width="10" customWidth="1"/>
    <col min="15" max="15" width="14" customWidth="1"/>
    <col min="16" max="16" width="3" customWidth="1"/>
    <col min="17" max="17" width="12" customWidth="1"/>
  </cols>
  <sheetData>
    <row r="1" spans="1:17" ht="18" x14ac:dyDescent="0.2">
      <c r="A1" s="9" t="s">
        <v>187</v>
      </c>
    </row>
    <row r="2" spans="1:17" x14ac:dyDescent="0.2">
      <c r="A2" s="2" t="s">
        <v>188</v>
      </c>
    </row>
    <row r="3" spans="1:17" x14ac:dyDescent="0.2">
      <c r="A3" s="10" t="s">
        <v>37</v>
      </c>
    </row>
    <row r="4" spans="1:17" x14ac:dyDescent="0.2">
      <c r="A4" s="40" t="s">
        <v>189</v>
      </c>
      <c r="B4" s="39">
        <v>46286</v>
      </c>
      <c r="C4" s="40" t="s">
        <v>190</v>
      </c>
      <c r="D4" s="39">
        <v>46290</v>
      </c>
      <c r="E4" s="40" t="s">
        <v>191</v>
      </c>
      <c r="F4" s="41" t="s">
        <v>192</v>
      </c>
    </row>
    <row r="5" spans="1:17" x14ac:dyDescent="0.2">
      <c r="Q5" s="51" t="s">
        <v>193</v>
      </c>
    </row>
    <row r="6" spans="1:17" ht="42" customHeight="1" x14ac:dyDescent="0.2">
      <c r="A6" s="12" t="s">
        <v>54</v>
      </c>
      <c r="B6" s="12" t="s">
        <v>55</v>
      </c>
      <c r="C6" s="12" t="s">
        <v>56</v>
      </c>
      <c r="D6" s="12" t="s">
        <v>57</v>
      </c>
      <c r="E6" s="12" t="s">
        <v>194</v>
      </c>
      <c r="F6" s="12" t="s">
        <v>195</v>
      </c>
      <c r="G6" s="12" t="s">
        <v>196</v>
      </c>
      <c r="I6" s="12" t="s">
        <v>197</v>
      </c>
      <c r="J6" s="12" t="s">
        <v>54</v>
      </c>
      <c r="K6" s="12" t="s">
        <v>55</v>
      </c>
      <c r="L6" s="12" t="s">
        <v>159</v>
      </c>
      <c r="M6" s="12" t="s">
        <v>198</v>
      </c>
      <c r="N6" s="12" t="s">
        <v>199</v>
      </c>
      <c r="O6" s="12" t="s">
        <v>57</v>
      </c>
      <c r="Q6" s="52" t="s">
        <v>192</v>
      </c>
    </row>
    <row r="7" spans="1:17" x14ac:dyDescent="0.2">
      <c r="A7" s="42" t="str">
        <f>IF(INDEX(DS_LYDO,1)="","",INDEX(DS_LYDO,1))</f>
        <v>H01</v>
      </c>
      <c r="B7" s="33" t="str">
        <f>IF(A7="","",INDEX(LYDO_TEN,1))</f>
        <v>Hỏng máy — cơ khí</v>
      </c>
      <c r="C7" s="42" t="str">
        <f>IF(A7="","",INDEX(LYDO_LOAI,1))</f>
        <v>Ngoài kế hoạch</v>
      </c>
      <c r="D7" s="33" t="str">
        <f>IF(A7="","",INDEX(LYDO_BP,1))</f>
        <v>Bảo trì</v>
      </c>
      <c r="E7" s="42">
        <f>IF(A7="","",COUNTIFS('3 Nhật ký dừng máy'!$F$6:$F$1005,A7,'3 Nhật ký dừng máy'!$A$6:$A$1005,"&gt;="&amp;$B$4,'3 Nhật ký dừng máy'!$A$6:$A$1005,"&lt;="&amp;$D$4,'3 Nhật ký dừng máy'!$C$6:$C$1005,IF($F$4="Tất cả","*",$F$4)))</f>
        <v>10</v>
      </c>
      <c r="F7" s="43">
        <f>IF(A7="","",SUMIFS('3 Nhật ký dừng máy'!$I$6:$I$1005,'3 Nhật ký dừng máy'!$F$6:$F$1005,A7,'3 Nhật ký dừng máy'!$A$6:$A$1005,"&gt;="&amp;$B$4,'3 Nhật ký dừng máy'!$A$6:$A$1005,"&lt;="&amp;$D$4,'3 Nhật ký dừng máy'!$C$6:$C$1005,IF($F$4="Tất cả","*",$F$4)))</f>
        <v>308</v>
      </c>
      <c r="G7" s="53">
        <f>IF(OR(A7="",C7&lt;&gt;"Ngoài kế hoạch",N(F7)&lt;=0),-1,F7+(30-0)/1000)</f>
        <v>308.02999999999997</v>
      </c>
      <c r="I7" s="42">
        <v>1</v>
      </c>
      <c r="J7" s="42" t="str">
        <f>IF(LARGE($G$7:$G$36,1)&lt;0,"",INDEX($A$7:$A$36,MATCH(LARGE($G$7:$G$36,1),$G$7:$G$36,0)))</f>
        <v>V01</v>
      </c>
      <c r="K7" s="33" t="str">
        <f t="shared" ref="K7:K36" si="0">IF(J7="","",INDEX($B$7:$B$36,MATCH(J7,$A$7:$A$36,0)))</f>
        <v>Chờ vật tư, phôi</v>
      </c>
      <c r="L7" s="43">
        <f t="shared" ref="L7:L36" si="1">IF(J7="","",INDEX($F$7:$F$36,MATCH(J7,$A$7:$A$36,0)))</f>
        <v>503</v>
      </c>
      <c r="M7" s="44">
        <f t="shared" ref="M7:M36" si="2">IF(J7="","",L7/SUM($L$7:$L$36))</f>
        <v>0.25794871794871793</v>
      </c>
      <c r="N7" s="44">
        <f>IF(J7="","",SUM($L$7:L7)/SUM($L$7:$L$36))</f>
        <v>0.25794871794871793</v>
      </c>
      <c r="O7" s="33" t="str">
        <f t="shared" ref="O7:O36" si="3">IF(J7="","",INDEX($D$7:$D$36,MATCH(J7,$A$7:$A$36,0)))</f>
        <v>Kế hoạch – kho</v>
      </c>
      <c r="Q7" s="52" t="str">
        <f>IF(INDEX(DS_MAY,1)="","",INDEX(DS_MAY,1))</f>
        <v>Máy tiện 1</v>
      </c>
    </row>
    <row r="8" spans="1:17" x14ac:dyDescent="0.2">
      <c r="A8" s="42" t="str">
        <f>IF(INDEX(DS_LYDO,2)="","",INDEX(DS_LYDO,2))</f>
        <v>H02</v>
      </c>
      <c r="B8" s="33" t="str">
        <f>IF(A8="","",INDEX(LYDO_TEN,2))</f>
        <v>Hỏng máy — điện, điều khiển</v>
      </c>
      <c r="C8" s="42" t="str">
        <f>IF(A8="","",INDEX(LYDO_LOAI,2))</f>
        <v>Ngoài kế hoạch</v>
      </c>
      <c r="D8" s="33" t="str">
        <f>IF(A8="","",INDEX(LYDO_BP,2))</f>
        <v>Bảo trì</v>
      </c>
      <c r="E8" s="42">
        <f>IF(A8="","",COUNTIFS('3 Nhật ký dừng máy'!$F$6:$F$1005,A8,'3 Nhật ký dừng máy'!$A$6:$A$1005,"&gt;="&amp;$B$4,'3 Nhật ký dừng máy'!$A$6:$A$1005,"&lt;="&amp;$D$4,'3 Nhật ký dừng máy'!$C$6:$C$1005,IF($F$4="Tất cả","*",$F$4)))</f>
        <v>8</v>
      </c>
      <c r="F8" s="43">
        <f>IF(A8="","",SUMIFS('3 Nhật ký dừng máy'!$I$6:$I$1005,'3 Nhật ký dừng máy'!$F$6:$F$1005,A8,'3 Nhật ký dừng máy'!$A$6:$A$1005,"&gt;="&amp;$B$4,'3 Nhật ký dừng máy'!$A$6:$A$1005,"&lt;="&amp;$D$4,'3 Nhật ký dừng máy'!$C$6:$C$1005,IF($F$4="Tất cả","*",$F$4)))</f>
        <v>199</v>
      </c>
      <c r="G8" s="53">
        <f>IF(OR(A8="",C8&lt;&gt;"Ngoài kế hoạch",N(F8)&lt;=0),-1,F8+(30-1)/1000)</f>
        <v>199.029</v>
      </c>
      <c r="I8" s="42">
        <v>2</v>
      </c>
      <c r="J8" s="42" t="str">
        <f>IF(LARGE($G$7:$G$36,2)&lt;0,"",INDEX($A$7:$A$36,MATCH(LARGE($G$7:$G$36,2),$G$7:$G$36,0)))</f>
        <v>C02</v>
      </c>
      <c r="K8" s="33" t="str">
        <f t="shared" si="0"/>
        <v>Chỉnh máy, chạy mẫu đầu</v>
      </c>
      <c r="L8" s="43">
        <f t="shared" si="1"/>
        <v>427</v>
      </c>
      <c r="M8" s="44">
        <f t="shared" si="2"/>
        <v>0.21897435897435896</v>
      </c>
      <c r="N8" s="44">
        <f>IF(J8="","",SUM($L$7:L8)/SUM($L$7:$L$36))</f>
        <v>0.47692307692307695</v>
      </c>
      <c r="O8" s="33" t="str">
        <f t="shared" si="3"/>
        <v>Sản xuất</v>
      </c>
      <c r="Q8" s="52" t="str">
        <f>IF(INDEX(DS_MAY,2)="","",INDEX(DS_MAY,2))</f>
        <v>Máy tiện 2</v>
      </c>
    </row>
    <row r="9" spans="1:17" x14ac:dyDescent="0.2">
      <c r="A9" s="42" t="str">
        <f>IF(INDEX(DS_LYDO,3)="","",INDEX(DS_LYDO,3))</f>
        <v>C01</v>
      </c>
      <c r="B9" s="33" t="str">
        <f>IF(A9="","",INDEX(LYDO_TEN,3))</f>
        <v>Đổi mã hàng, thay khuôn, gá</v>
      </c>
      <c r="C9" s="42" t="str">
        <f>IF(A9="","",INDEX(LYDO_LOAI,3))</f>
        <v>Ngoài kế hoạch</v>
      </c>
      <c r="D9" s="33" t="str">
        <f>IF(A9="","",INDEX(LYDO_BP,3))</f>
        <v>Sản xuất</v>
      </c>
      <c r="E9" s="42">
        <f>IF(A9="","",COUNTIFS('3 Nhật ký dừng máy'!$F$6:$F$1005,A9,'3 Nhật ký dừng máy'!$A$6:$A$1005,"&gt;="&amp;$B$4,'3 Nhật ký dừng máy'!$A$6:$A$1005,"&lt;="&amp;$D$4,'3 Nhật ký dừng máy'!$C$6:$C$1005,IF($F$4="Tất cả","*",$F$4)))</f>
        <v>1</v>
      </c>
      <c r="F9" s="43">
        <f>IF(A9="","",SUMIFS('3 Nhật ký dừng máy'!$I$6:$I$1005,'3 Nhật ký dừng máy'!$F$6:$F$1005,A9,'3 Nhật ký dừng máy'!$A$6:$A$1005,"&gt;="&amp;$B$4,'3 Nhật ký dừng máy'!$A$6:$A$1005,"&lt;="&amp;$D$4,'3 Nhật ký dừng máy'!$C$6:$C$1005,IF($F$4="Tất cả","*",$F$4)))</f>
        <v>45</v>
      </c>
      <c r="G9" s="53">
        <f>IF(OR(A9="",C9&lt;&gt;"Ngoài kế hoạch",N(F9)&lt;=0),-1,F9+(30-2)/1000)</f>
        <v>45.027999999999999</v>
      </c>
      <c r="I9" s="42">
        <v>3</v>
      </c>
      <c r="J9" s="42" t="str">
        <f>IF(LARGE($G$7:$G$36,3)&lt;0,"",INDEX($A$7:$A$36,MATCH(LARGE($G$7:$G$36,3),$G$7:$G$36,0)))</f>
        <v>H01</v>
      </c>
      <c r="K9" s="33" t="str">
        <f t="shared" si="0"/>
        <v>Hỏng máy — cơ khí</v>
      </c>
      <c r="L9" s="43">
        <f t="shared" si="1"/>
        <v>308</v>
      </c>
      <c r="M9" s="44">
        <f t="shared" si="2"/>
        <v>0.15794871794871795</v>
      </c>
      <c r="N9" s="44">
        <f>IF(J9="","",SUM($L$7:L9)/SUM($L$7:$L$36))</f>
        <v>0.6348717948717949</v>
      </c>
      <c r="O9" s="33" t="str">
        <f t="shared" si="3"/>
        <v>Bảo trì</v>
      </c>
      <c r="Q9" s="52" t="str">
        <f>IF(INDEX(DS_MAY,3)="","",INDEX(DS_MAY,3))</f>
        <v>Máy phay 1</v>
      </c>
    </row>
    <row r="10" spans="1:17" x14ac:dyDescent="0.2">
      <c r="A10" s="42" t="str">
        <f>IF(INDEX(DS_LYDO,4)="","",INDEX(DS_LYDO,4))</f>
        <v>C02</v>
      </c>
      <c r="B10" s="33" t="str">
        <f>IF(A10="","",INDEX(LYDO_TEN,4))</f>
        <v>Chỉnh máy, chạy mẫu đầu</v>
      </c>
      <c r="C10" s="42" t="str">
        <f>IF(A10="","",INDEX(LYDO_LOAI,4))</f>
        <v>Ngoài kế hoạch</v>
      </c>
      <c r="D10" s="33" t="str">
        <f>IF(A10="","",INDEX(LYDO_BP,4))</f>
        <v>Sản xuất</v>
      </c>
      <c r="E10" s="42">
        <f>IF(A10="","",COUNTIFS('3 Nhật ký dừng máy'!$F$6:$F$1005,A10,'3 Nhật ký dừng máy'!$A$6:$A$1005,"&gt;="&amp;$B$4,'3 Nhật ký dừng máy'!$A$6:$A$1005,"&lt;="&amp;$D$4,'3 Nhật ký dừng máy'!$C$6:$C$1005,IF($F$4="Tất cả","*",$F$4)))</f>
        <v>13</v>
      </c>
      <c r="F10" s="43">
        <f>IF(A10="","",SUMIFS('3 Nhật ký dừng máy'!$I$6:$I$1005,'3 Nhật ký dừng máy'!$F$6:$F$1005,A10,'3 Nhật ký dừng máy'!$A$6:$A$1005,"&gt;="&amp;$B$4,'3 Nhật ký dừng máy'!$A$6:$A$1005,"&lt;="&amp;$D$4,'3 Nhật ký dừng máy'!$C$6:$C$1005,IF($F$4="Tất cả","*",$F$4)))</f>
        <v>427</v>
      </c>
      <c r="G10" s="53">
        <f>IF(OR(A10="",C10&lt;&gt;"Ngoài kế hoạch",N(F10)&lt;=0),-1,F10+(30-3)/1000)</f>
        <v>427.02699999999999</v>
      </c>
      <c r="I10" s="42">
        <v>4</v>
      </c>
      <c r="J10" s="42" t="str">
        <f>IF(LARGE($G$7:$G$36,4)&lt;0,"",INDEX($A$7:$A$36,MATCH(LARGE($G$7:$G$36,4),$G$7:$G$36,0)))</f>
        <v>N01</v>
      </c>
      <c r="K10" s="33" t="str">
        <f t="shared" si="0"/>
        <v>Chờ người, thiếu người</v>
      </c>
      <c r="L10" s="43">
        <f t="shared" si="1"/>
        <v>200</v>
      </c>
      <c r="M10" s="44">
        <f t="shared" si="2"/>
        <v>0.10256410256410256</v>
      </c>
      <c r="N10" s="44">
        <f>IF(J10="","",SUM($L$7:L10)/SUM($L$7:$L$36))</f>
        <v>0.73743589743589744</v>
      </c>
      <c r="O10" s="33" t="str">
        <f t="shared" si="3"/>
        <v>Sản xuất</v>
      </c>
      <c r="Q10" s="52" t="str">
        <f>IF(INDEX(DS_MAY,4)="","",INDEX(DS_MAY,4))</f>
        <v>Máy dập 1</v>
      </c>
    </row>
    <row r="11" spans="1:17" x14ac:dyDescent="0.2">
      <c r="A11" s="42" t="str">
        <f>IF(INDEX(DS_LYDO,5)="","",INDEX(DS_LYDO,5))</f>
        <v>V01</v>
      </c>
      <c r="B11" s="33" t="str">
        <f>IF(A11="","",INDEX(LYDO_TEN,5))</f>
        <v>Chờ vật tư, phôi</v>
      </c>
      <c r="C11" s="42" t="str">
        <f>IF(A11="","",INDEX(LYDO_LOAI,5))</f>
        <v>Ngoài kế hoạch</v>
      </c>
      <c r="D11" s="33" t="str">
        <f>IF(A11="","",INDEX(LYDO_BP,5))</f>
        <v>Kế hoạch – kho</v>
      </c>
      <c r="E11" s="42">
        <f>IF(A11="","",COUNTIFS('3 Nhật ký dừng máy'!$F$6:$F$1005,A11,'3 Nhật ký dừng máy'!$A$6:$A$1005,"&gt;="&amp;$B$4,'3 Nhật ký dừng máy'!$A$6:$A$1005,"&lt;="&amp;$D$4,'3 Nhật ký dừng máy'!$C$6:$C$1005,IF($F$4="Tất cả","*",$F$4)))</f>
        <v>16</v>
      </c>
      <c r="F11" s="43">
        <f>IF(A11="","",SUMIFS('3 Nhật ký dừng máy'!$I$6:$I$1005,'3 Nhật ký dừng máy'!$F$6:$F$1005,A11,'3 Nhật ký dừng máy'!$A$6:$A$1005,"&gt;="&amp;$B$4,'3 Nhật ký dừng máy'!$A$6:$A$1005,"&lt;="&amp;$D$4,'3 Nhật ký dừng máy'!$C$6:$C$1005,IF($F$4="Tất cả","*",$F$4)))</f>
        <v>503</v>
      </c>
      <c r="G11" s="53">
        <f>IF(OR(A11="",C11&lt;&gt;"Ngoài kế hoạch",N(F11)&lt;=0),-1,F11+(30-4)/1000)</f>
        <v>503.02600000000001</v>
      </c>
      <c r="I11" s="42">
        <v>5</v>
      </c>
      <c r="J11" s="42" t="str">
        <f>IF(LARGE($G$7:$G$36,5)&lt;0,"",INDEX($A$7:$A$36,MATCH(LARGE($G$7:$G$36,5),$G$7:$G$36,0)))</f>
        <v>H02</v>
      </c>
      <c r="K11" s="33" t="str">
        <f t="shared" si="0"/>
        <v>Hỏng máy — điện, điều khiển</v>
      </c>
      <c r="L11" s="43">
        <f t="shared" si="1"/>
        <v>199</v>
      </c>
      <c r="M11" s="44">
        <f t="shared" si="2"/>
        <v>0.10205128205128206</v>
      </c>
      <c r="N11" s="44">
        <f>IF(J11="","",SUM($L$7:L11)/SUM($L$7:$L$36))</f>
        <v>0.83948717948717944</v>
      </c>
      <c r="O11" s="33" t="str">
        <f t="shared" si="3"/>
        <v>Bảo trì</v>
      </c>
      <c r="Q11" s="52" t="str">
        <f>IF(INDEX(DS_MAY,5)="","",INDEX(DS_MAY,5))</f>
        <v/>
      </c>
    </row>
    <row r="12" spans="1:17" x14ac:dyDescent="0.2">
      <c r="A12" s="42" t="str">
        <f>IF(INDEX(DS_LYDO,6)="","",INDEX(DS_LYDO,6))</f>
        <v>N01</v>
      </c>
      <c r="B12" s="33" t="str">
        <f>IF(A12="","",INDEX(LYDO_TEN,6))</f>
        <v>Chờ người, thiếu người</v>
      </c>
      <c r="C12" s="42" t="str">
        <f>IF(A12="","",INDEX(LYDO_LOAI,6))</f>
        <v>Ngoài kế hoạch</v>
      </c>
      <c r="D12" s="33" t="str">
        <f>IF(A12="","",INDEX(LYDO_BP,6))</f>
        <v>Sản xuất</v>
      </c>
      <c r="E12" s="42">
        <f>IF(A12="","",COUNTIFS('3 Nhật ký dừng máy'!$F$6:$F$1005,A12,'3 Nhật ký dừng máy'!$A$6:$A$1005,"&gt;="&amp;$B$4,'3 Nhật ký dừng máy'!$A$6:$A$1005,"&lt;="&amp;$D$4,'3 Nhật ký dừng máy'!$C$6:$C$1005,IF($F$4="Tất cả","*",$F$4)))</f>
        <v>5</v>
      </c>
      <c r="F12" s="43">
        <f>IF(A12="","",SUMIFS('3 Nhật ký dừng máy'!$I$6:$I$1005,'3 Nhật ký dừng máy'!$F$6:$F$1005,A12,'3 Nhật ký dừng máy'!$A$6:$A$1005,"&gt;="&amp;$B$4,'3 Nhật ký dừng máy'!$A$6:$A$1005,"&lt;="&amp;$D$4,'3 Nhật ký dừng máy'!$C$6:$C$1005,IF($F$4="Tất cả","*",$F$4)))</f>
        <v>200</v>
      </c>
      <c r="G12" s="53">
        <f>IF(OR(A12="",C12&lt;&gt;"Ngoài kế hoạch",N(F12)&lt;=0),-1,F12+(30-5)/1000)</f>
        <v>200.02500000000001</v>
      </c>
      <c r="I12" s="42">
        <v>6</v>
      </c>
      <c r="J12" s="42" t="str">
        <f>IF(LARGE($G$7:$G$36,6)&lt;0,"",INDEX($A$7:$A$36,MATCH(LARGE($G$7:$G$36,6),$G$7:$G$36,0)))</f>
        <v>Q01</v>
      </c>
      <c r="K12" s="33" t="str">
        <f t="shared" si="0"/>
        <v>Chờ QC kiểm tra</v>
      </c>
      <c r="L12" s="43">
        <f t="shared" si="1"/>
        <v>165</v>
      </c>
      <c r="M12" s="44">
        <f t="shared" si="2"/>
        <v>8.461538461538462E-2</v>
      </c>
      <c r="N12" s="44">
        <f>IF(J12="","",SUM($L$7:L12)/SUM($L$7:$L$36))</f>
        <v>0.92410256410256408</v>
      </c>
      <c r="O12" s="33" t="str">
        <f t="shared" si="3"/>
        <v>QC</v>
      </c>
      <c r="Q12" s="52" t="str">
        <f>IF(INDEX(DS_MAY,6)="","",INDEX(DS_MAY,6))</f>
        <v/>
      </c>
    </row>
    <row r="13" spans="1:17" x14ac:dyDescent="0.2">
      <c r="A13" s="42" t="str">
        <f>IF(INDEX(DS_LYDO,7)="","",INDEX(DS_LYDO,7))</f>
        <v>Q01</v>
      </c>
      <c r="B13" s="33" t="str">
        <f>IF(A13="","",INDEX(LYDO_TEN,7))</f>
        <v>Chờ QC kiểm tra</v>
      </c>
      <c r="C13" s="42" t="str">
        <f>IF(A13="","",INDEX(LYDO_LOAI,7))</f>
        <v>Ngoài kế hoạch</v>
      </c>
      <c r="D13" s="33" t="str">
        <f>IF(A13="","",INDEX(LYDO_BP,7))</f>
        <v>QC</v>
      </c>
      <c r="E13" s="42">
        <f>IF(A13="","",COUNTIFS('3 Nhật ký dừng máy'!$F$6:$F$1005,A13,'3 Nhật ký dừng máy'!$A$6:$A$1005,"&gt;="&amp;$B$4,'3 Nhật ký dừng máy'!$A$6:$A$1005,"&lt;="&amp;$D$4,'3 Nhật ký dừng máy'!$C$6:$C$1005,IF($F$4="Tất cả","*",$F$4)))</f>
        <v>6</v>
      </c>
      <c r="F13" s="43">
        <f>IF(A13="","",SUMIFS('3 Nhật ký dừng máy'!$I$6:$I$1005,'3 Nhật ký dừng máy'!$F$6:$F$1005,A13,'3 Nhật ký dừng máy'!$A$6:$A$1005,"&gt;="&amp;$B$4,'3 Nhật ký dừng máy'!$A$6:$A$1005,"&lt;="&amp;$D$4,'3 Nhật ký dừng máy'!$C$6:$C$1005,IF($F$4="Tất cả","*",$F$4)))</f>
        <v>165</v>
      </c>
      <c r="G13" s="53">
        <f>IF(OR(A13="",C13&lt;&gt;"Ngoài kế hoạch",N(F13)&lt;=0),-1,F13+(30-6)/1000)</f>
        <v>165.024</v>
      </c>
      <c r="I13" s="42">
        <v>7</v>
      </c>
      <c r="J13" s="42" t="str">
        <f>IF(LARGE($G$7:$G$36,7)&lt;0,"",INDEX($A$7:$A$36,MATCH(LARGE($G$7:$G$36,7),$G$7:$G$36,0)))</f>
        <v>X01</v>
      </c>
      <c r="K13" s="33" t="str">
        <f t="shared" si="0"/>
        <v>Dừng khác</v>
      </c>
      <c r="L13" s="43">
        <f t="shared" si="1"/>
        <v>103</v>
      </c>
      <c r="M13" s="44">
        <f t="shared" si="2"/>
        <v>5.2820512820512817E-2</v>
      </c>
      <c r="N13" s="44">
        <f>IF(J13="","",SUM($L$7:L13)/SUM($L$7:$L$36))</f>
        <v>0.97692307692307689</v>
      </c>
      <c r="O13" s="33" t="str">
        <f t="shared" si="3"/>
        <v>Sản xuất</v>
      </c>
      <c r="Q13" s="52" t="str">
        <f>IF(INDEX(DS_MAY,7)="","",INDEX(DS_MAY,7))</f>
        <v/>
      </c>
    </row>
    <row r="14" spans="1:17" x14ac:dyDescent="0.2">
      <c r="A14" s="42" t="str">
        <f>IF(INDEX(DS_LYDO,8)="","",INDEX(DS_LYDO,8))</f>
        <v>X01</v>
      </c>
      <c r="B14" s="33" t="str">
        <f>IF(A14="","",INDEX(LYDO_TEN,8))</f>
        <v>Dừng khác</v>
      </c>
      <c r="C14" s="42" t="str">
        <f>IF(A14="","",INDEX(LYDO_LOAI,8))</f>
        <v>Ngoài kế hoạch</v>
      </c>
      <c r="D14" s="33" t="str">
        <f>IF(A14="","",INDEX(LYDO_BP,8))</f>
        <v>Sản xuất</v>
      </c>
      <c r="E14" s="42">
        <f>IF(A14="","",COUNTIFS('3 Nhật ký dừng máy'!$F$6:$F$1005,A14,'3 Nhật ký dừng máy'!$A$6:$A$1005,"&gt;="&amp;$B$4,'3 Nhật ký dừng máy'!$A$6:$A$1005,"&lt;="&amp;$D$4,'3 Nhật ký dừng máy'!$C$6:$C$1005,IF($F$4="Tất cả","*",$F$4)))</f>
        <v>4</v>
      </c>
      <c r="F14" s="43">
        <f>IF(A14="","",SUMIFS('3 Nhật ký dừng máy'!$I$6:$I$1005,'3 Nhật ký dừng máy'!$F$6:$F$1005,A14,'3 Nhật ký dừng máy'!$A$6:$A$1005,"&gt;="&amp;$B$4,'3 Nhật ký dừng máy'!$A$6:$A$1005,"&lt;="&amp;$D$4,'3 Nhật ký dừng máy'!$C$6:$C$1005,IF($F$4="Tất cả","*",$F$4)))</f>
        <v>103</v>
      </c>
      <c r="G14" s="53">
        <f>IF(OR(A14="",C14&lt;&gt;"Ngoài kế hoạch",N(F14)&lt;=0),-1,F14+(30-7)/1000)</f>
        <v>103.023</v>
      </c>
      <c r="I14" s="42">
        <v>8</v>
      </c>
      <c r="J14" s="42" t="str">
        <f>IF(LARGE($G$7:$G$36,8)&lt;0,"",INDEX($A$7:$A$36,MATCH(LARGE($G$7:$G$36,8),$G$7:$G$36,0)))</f>
        <v>C01</v>
      </c>
      <c r="K14" s="33" t="str">
        <f t="shared" si="0"/>
        <v>Đổi mã hàng, thay khuôn, gá</v>
      </c>
      <c r="L14" s="43">
        <f t="shared" si="1"/>
        <v>45</v>
      </c>
      <c r="M14" s="44">
        <f t="shared" si="2"/>
        <v>2.3076923076923078E-2</v>
      </c>
      <c r="N14" s="44">
        <f>IF(J14="","",SUM($L$7:L14)/SUM($L$7:$L$36))</f>
        <v>1</v>
      </c>
      <c r="O14" s="33" t="str">
        <f t="shared" si="3"/>
        <v>Sản xuất</v>
      </c>
      <c r="Q14" s="52" t="str">
        <f>IF(INDEX(DS_MAY,8)="","",INDEX(DS_MAY,8))</f>
        <v/>
      </c>
    </row>
    <row r="15" spans="1:17" x14ac:dyDescent="0.2">
      <c r="A15" s="42" t="str">
        <f>IF(INDEX(DS_LYDO,9)="","",INDEX(DS_LYDO,9))</f>
        <v>K01</v>
      </c>
      <c r="B15" s="33" t="str">
        <f>IF(A15="","",INDEX(LYDO_TEN,9))</f>
        <v>Bảo trì định kỳ</v>
      </c>
      <c r="C15" s="42" t="str">
        <f>IF(A15="","",INDEX(LYDO_LOAI,9))</f>
        <v>Có kế hoạch</v>
      </c>
      <c r="D15" s="33" t="str">
        <f>IF(A15="","",INDEX(LYDO_BP,9))</f>
        <v>Bảo trì</v>
      </c>
      <c r="E15" s="42">
        <f>IF(A15="","",COUNTIFS('3 Nhật ký dừng máy'!$F$6:$F$1005,A15,'3 Nhật ký dừng máy'!$A$6:$A$1005,"&gt;="&amp;$B$4,'3 Nhật ký dừng máy'!$A$6:$A$1005,"&lt;="&amp;$D$4,'3 Nhật ký dừng máy'!$C$6:$C$1005,IF($F$4="Tất cả","*",$F$4)))</f>
        <v>1</v>
      </c>
      <c r="F15" s="43">
        <f>IF(A15="","",SUMIFS('3 Nhật ký dừng máy'!$I$6:$I$1005,'3 Nhật ký dừng máy'!$F$6:$F$1005,A15,'3 Nhật ký dừng máy'!$A$6:$A$1005,"&gt;="&amp;$B$4,'3 Nhật ký dừng máy'!$A$6:$A$1005,"&lt;="&amp;$D$4,'3 Nhật ký dừng máy'!$C$6:$C$1005,IF($F$4="Tất cả","*",$F$4)))</f>
        <v>60</v>
      </c>
      <c r="G15" s="53">
        <f>IF(OR(A15="",C15&lt;&gt;"Ngoài kế hoạch",N(F15)&lt;=0),-1,F15+(30-8)/1000)</f>
        <v>-1</v>
      </c>
      <c r="I15" s="42">
        <v>9</v>
      </c>
      <c r="J15" s="42" t="str">
        <f>IF(LARGE($G$7:$G$36,9)&lt;0,"",INDEX($A$7:$A$36,MATCH(LARGE($G$7:$G$36,9),$G$7:$G$36,0)))</f>
        <v/>
      </c>
      <c r="K15" s="33" t="str">
        <f t="shared" si="0"/>
        <v/>
      </c>
      <c r="L15" s="43" t="str">
        <f t="shared" si="1"/>
        <v/>
      </c>
      <c r="M15" s="44" t="str">
        <f t="shared" si="2"/>
        <v/>
      </c>
      <c r="N15" s="44" t="str">
        <f>IF(J15="","",SUM($L$7:L15)/SUM($L$7:$L$36))</f>
        <v/>
      </c>
      <c r="O15" s="33" t="str">
        <f t="shared" si="3"/>
        <v/>
      </c>
      <c r="Q15" s="52" t="str">
        <f>IF(INDEX(DS_MAY,9)="","",INDEX(DS_MAY,9))</f>
        <v/>
      </c>
    </row>
    <row r="16" spans="1:17" x14ac:dyDescent="0.2">
      <c r="A16" s="42" t="str">
        <f>IF(INDEX(DS_LYDO,10)="","",INDEX(DS_LYDO,10))</f>
        <v>K02</v>
      </c>
      <c r="B16" s="33" t="str">
        <f>IF(A16="","",INDEX(LYDO_TEN,10))</f>
        <v>Không có đơn hàng</v>
      </c>
      <c r="C16" s="42" t="str">
        <f>IF(A16="","",INDEX(LYDO_LOAI,10))</f>
        <v>Có kế hoạch</v>
      </c>
      <c r="D16" s="33" t="str">
        <f>IF(A16="","",INDEX(LYDO_BP,10))</f>
        <v>Kế hoạch – kho</v>
      </c>
      <c r="E16" s="42">
        <f>IF(A16="","",COUNTIFS('3 Nhật ký dừng máy'!$F$6:$F$1005,A16,'3 Nhật ký dừng máy'!$A$6:$A$1005,"&gt;="&amp;$B$4,'3 Nhật ký dừng máy'!$A$6:$A$1005,"&lt;="&amp;$D$4,'3 Nhật ký dừng máy'!$C$6:$C$1005,IF($F$4="Tất cả","*",$F$4)))</f>
        <v>1</v>
      </c>
      <c r="F16" s="43">
        <f>IF(A16="","",SUMIFS('3 Nhật ký dừng máy'!$I$6:$I$1005,'3 Nhật ký dừng máy'!$F$6:$F$1005,A16,'3 Nhật ký dừng máy'!$A$6:$A$1005,"&gt;="&amp;$B$4,'3 Nhật ký dừng máy'!$A$6:$A$1005,"&lt;="&amp;$D$4,'3 Nhật ký dừng máy'!$C$6:$C$1005,IF($F$4="Tất cả","*",$F$4)))</f>
        <v>120</v>
      </c>
      <c r="G16" s="53">
        <f>IF(OR(A16="",C16&lt;&gt;"Ngoài kế hoạch",N(F16)&lt;=0),-1,F16+(30-9)/1000)</f>
        <v>-1</v>
      </c>
      <c r="I16" s="42">
        <v>10</v>
      </c>
      <c r="J16" s="42" t="str">
        <f>IF(LARGE($G$7:$G$36,10)&lt;0,"",INDEX($A$7:$A$36,MATCH(LARGE($G$7:$G$36,10),$G$7:$G$36,0)))</f>
        <v/>
      </c>
      <c r="K16" s="33" t="str">
        <f t="shared" si="0"/>
        <v/>
      </c>
      <c r="L16" s="43" t="str">
        <f t="shared" si="1"/>
        <v/>
      </c>
      <c r="M16" s="44" t="str">
        <f t="shared" si="2"/>
        <v/>
      </c>
      <c r="N16" s="44" t="str">
        <f>IF(J16="","",SUM($L$7:L16)/SUM($L$7:$L$36))</f>
        <v/>
      </c>
      <c r="O16" s="33" t="str">
        <f t="shared" si="3"/>
        <v/>
      </c>
      <c r="Q16" s="52" t="str">
        <f>IF(INDEX(DS_MAY,10)="","",INDEX(DS_MAY,10))</f>
        <v/>
      </c>
    </row>
    <row r="17" spans="1:17" x14ac:dyDescent="0.2">
      <c r="A17" s="42" t="str">
        <f>IF(INDEX(DS_LYDO,11)="","",INDEX(DS_LYDO,11))</f>
        <v/>
      </c>
      <c r="B17" s="33" t="str">
        <f>IF(A17="","",INDEX(LYDO_TEN,11))</f>
        <v/>
      </c>
      <c r="C17" s="42" t="str">
        <f>IF(A17="","",INDEX(LYDO_LOAI,11))</f>
        <v/>
      </c>
      <c r="D17" s="33" t="str">
        <f>IF(A17="","",INDEX(LYDO_BP,11))</f>
        <v/>
      </c>
      <c r="E17" s="42" t="str">
        <f>IF(A17="","",COUNTIFS('3 Nhật ký dừng máy'!$F$6:$F$1005,A17,'3 Nhật ký dừng máy'!$A$6:$A$1005,"&gt;="&amp;$B$4,'3 Nhật ký dừng máy'!$A$6:$A$1005,"&lt;="&amp;$D$4,'3 Nhật ký dừng máy'!$C$6:$C$1005,IF($F$4="Tất cả","*",$F$4)))</f>
        <v/>
      </c>
      <c r="F17" s="43" t="str">
        <f>IF(A17="","",SUMIFS('3 Nhật ký dừng máy'!$I$6:$I$1005,'3 Nhật ký dừng máy'!$F$6:$F$1005,A17,'3 Nhật ký dừng máy'!$A$6:$A$1005,"&gt;="&amp;$B$4,'3 Nhật ký dừng máy'!$A$6:$A$1005,"&lt;="&amp;$D$4,'3 Nhật ký dừng máy'!$C$6:$C$1005,IF($F$4="Tất cả","*",$F$4)))</f>
        <v/>
      </c>
      <c r="G17" s="53">
        <f>IF(OR(A17="",C17&lt;&gt;"Ngoài kế hoạch",N(F17)&lt;=0),-1,F17+(30-10)/1000)</f>
        <v>-1</v>
      </c>
      <c r="I17" s="42">
        <v>11</v>
      </c>
      <c r="J17" s="42" t="str">
        <f>IF(LARGE($G$7:$G$36,11)&lt;0,"",INDEX($A$7:$A$36,MATCH(LARGE($G$7:$G$36,11),$G$7:$G$36,0)))</f>
        <v/>
      </c>
      <c r="K17" s="33" t="str">
        <f t="shared" si="0"/>
        <v/>
      </c>
      <c r="L17" s="43" t="str">
        <f t="shared" si="1"/>
        <v/>
      </c>
      <c r="M17" s="44" t="str">
        <f t="shared" si="2"/>
        <v/>
      </c>
      <c r="N17" s="44" t="str">
        <f>IF(J17="","",SUM($L$7:L17)/SUM($L$7:$L$36))</f>
        <v/>
      </c>
      <c r="O17" s="33" t="str">
        <f t="shared" si="3"/>
        <v/>
      </c>
      <c r="Q17" s="52" t="str">
        <f>IF(INDEX(DS_MAY,11)="","",INDEX(DS_MAY,11))</f>
        <v/>
      </c>
    </row>
    <row r="18" spans="1:17" x14ac:dyDescent="0.2">
      <c r="A18" s="42" t="str">
        <f>IF(INDEX(DS_LYDO,12)="","",INDEX(DS_LYDO,12))</f>
        <v/>
      </c>
      <c r="B18" s="33" t="str">
        <f>IF(A18="","",INDEX(LYDO_TEN,12))</f>
        <v/>
      </c>
      <c r="C18" s="42" t="str">
        <f>IF(A18="","",INDEX(LYDO_LOAI,12))</f>
        <v/>
      </c>
      <c r="D18" s="33" t="str">
        <f>IF(A18="","",INDEX(LYDO_BP,12))</f>
        <v/>
      </c>
      <c r="E18" s="42" t="str">
        <f>IF(A18="","",COUNTIFS('3 Nhật ký dừng máy'!$F$6:$F$1005,A18,'3 Nhật ký dừng máy'!$A$6:$A$1005,"&gt;="&amp;$B$4,'3 Nhật ký dừng máy'!$A$6:$A$1005,"&lt;="&amp;$D$4,'3 Nhật ký dừng máy'!$C$6:$C$1005,IF($F$4="Tất cả","*",$F$4)))</f>
        <v/>
      </c>
      <c r="F18" s="43" t="str">
        <f>IF(A18="","",SUMIFS('3 Nhật ký dừng máy'!$I$6:$I$1005,'3 Nhật ký dừng máy'!$F$6:$F$1005,A18,'3 Nhật ký dừng máy'!$A$6:$A$1005,"&gt;="&amp;$B$4,'3 Nhật ký dừng máy'!$A$6:$A$1005,"&lt;="&amp;$D$4,'3 Nhật ký dừng máy'!$C$6:$C$1005,IF($F$4="Tất cả","*",$F$4)))</f>
        <v/>
      </c>
      <c r="G18" s="53">
        <f>IF(OR(A18="",C18&lt;&gt;"Ngoài kế hoạch",N(F18)&lt;=0),-1,F18+(30-11)/1000)</f>
        <v>-1</v>
      </c>
      <c r="I18" s="42">
        <v>12</v>
      </c>
      <c r="J18" s="42" t="str">
        <f>IF(LARGE($G$7:$G$36,12)&lt;0,"",INDEX($A$7:$A$36,MATCH(LARGE($G$7:$G$36,12),$G$7:$G$36,0)))</f>
        <v/>
      </c>
      <c r="K18" s="33" t="str">
        <f t="shared" si="0"/>
        <v/>
      </c>
      <c r="L18" s="43" t="str">
        <f t="shared" si="1"/>
        <v/>
      </c>
      <c r="M18" s="44" t="str">
        <f t="shared" si="2"/>
        <v/>
      </c>
      <c r="N18" s="44" t="str">
        <f>IF(J18="","",SUM($L$7:L18)/SUM($L$7:$L$36))</f>
        <v/>
      </c>
      <c r="O18" s="33" t="str">
        <f t="shared" si="3"/>
        <v/>
      </c>
      <c r="Q18" s="52" t="str">
        <f>IF(INDEX(DS_MAY,12)="","",INDEX(DS_MAY,12))</f>
        <v/>
      </c>
    </row>
    <row r="19" spans="1:17" x14ac:dyDescent="0.2">
      <c r="A19" s="42" t="str">
        <f>IF(INDEX(DS_LYDO,13)="","",INDEX(DS_LYDO,13))</f>
        <v/>
      </c>
      <c r="B19" s="33" t="str">
        <f>IF(A19="","",INDEX(LYDO_TEN,13))</f>
        <v/>
      </c>
      <c r="C19" s="42" t="str">
        <f>IF(A19="","",INDEX(LYDO_LOAI,13))</f>
        <v/>
      </c>
      <c r="D19" s="33" t="str">
        <f>IF(A19="","",INDEX(LYDO_BP,13))</f>
        <v/>
      </c>
      <c r="E19" s="42" t="str">
        <f>IF(A19="","",COUNTIFS('3 Nhật ký dừng máy'!$F$6:$F$1005,A19,'3 Nhật ký dừng máy'!$A$6:$A$1005,"&gt;="&amp;$B$4,'3 Nhật ký dừng máy'!$A$6:$A$1005,"&lt;="&amp;$D$4,'3 Nhật ký dừng máy'!$C$6:$C$1005,IF($F$4="Tất cả","*",$F$4)))</f>
        <v/>
      </c>
      <c r="F19" s="43" t="str">
        <f>IF(A19="","",SUMIFS('3 Nhật ký dừng máy'!$I$6:$I$1005,'3 Nhật ký dừng máy'!$F$6:$F$1005,A19,'3 Nhật ký dừng máy'!$A$6:$A$1005,"&gt;="&amp;$B$4,'3 Nhật ký dừng máy'!$A$6:$A$1005,"&lt;="&amp;$D$4,'3 Nhật ký dừng máy'!$C$6:$C$1005,IF($F$4="Tất cả","*",$F$4)))</f>
        <v/>
      </c>
      <c r="G19" s="53">
        <f>IF(OR(A19="",C19&lt;&gt;"Ngoài kế hoạch",N(F19)&lt;=0),-1,F19+(30-12)/1000)</f>
        <v>-1</v>
      </c>
      <c r="I19" s="42">
        <v>13</v>
      </c>
      <c r="J19" s="42" t="str">
        <f>IF(LARGE($G$7:$G$36,13)&lt;0,"",INDEX($A$7:$A$36,MATCH(LARGE($G$7:$G$36,13),$G$7:$G$36,0)))</f>
        <v/>
      </c>
      <c r="K19" s="33" t="str">
        <f t="shared" si="0"/>
        <v/>
      </c>
      <c r="L19" s="43" t="str">
        <f t="shared" si="1"/>
        <v/>
      </c>
      <c r="M19" s="44" t="str">
        <f t="shared" si="2"/>
        <v/>
      </c>
      <c r="N19" s="44" t="str">
        <f>IF(J19="","",SUM($L$7:L19)/SUM($L$7:$L$36))</f>
        <v/>
      </c>
      <c r="O19" s="33" t="str">
        <f t="shared" si="3"/>
        <v/>
      </c>
      <c r="Q19" s="52" t="str">
        <f>IF(INDEX(DS_MAY,13)="","",INDEX(DS_MAY,13))</f>
        <v/>
      </c>
    </row>
    <row r="20" spans="1:17" x14ac:dyDescent="0.2">
      <c r="A20" s="42" t="str">
        <f>IF(INDEX(DS_LYDO,14)="","",INDEX(DS_LYDO,14))</f>
        <v/>
      </c>
      <c r="B20" s="33" t="str">
        <f>IF(A20="","",INDEX(LYDO_TEN,14))</f>
        <v/>
      </c>
      <c r="C20" s="42" t="str">
        <f>IF(A20="","",INDEX(LYDO_LOAI,14))</f>
        <v/>
      </c>
      <c r="D20" s="33" t="str">
        <f>IF(A20="","",INDEX(LYDO_BP,14))</f>
        <v/>
      </c>
      <c r="E20" s="42" t="str">
        <f>IF(A20="","",COUNTIFS('3 Nhật ký dừng máy'!$F$6:$F$1005,A20,'3 Nhật ký dừng máy'!$A$6:$A$1005,"&gt;="&amp;$B$4,'3 Nhật ký dừng máy'!$A$6:$A$1005,"&lt;="&amp;$D$4,'3 Nhật ký dừng máy'!$C$6:$C$1005,IF($F$4="Tất cả","*",$F$4)))</f>
        <v/>
      </c>
      <c r="F20" s="43" t="str">
        <f>IF(A20="","",SUMIFS('3 Nhật ký dừng máy'!$I$6:$I$1005,'3 Nhật ký dừng máy'!$F$6:$F$1005,A20,'3 Nhật ký dừng máy'!$A$6:$A$1005,"&gt;="&amp;$B$4,'3 Nhật ký dừng máy'!$A$6:$A$1005,"&lt;="&amp;$D$4,'3 Nhật ký dừng máy'!$C$6:$C$1005,IF($F$4="Tất cả","*",$F$4)))</f>
        <v/>
      </c>
      <c r="G20" s="53">
        <f>IF(OR(A20="",C20&lt;&gt;"Ngoài kế hoạch",N(F20)&lt;=0),-1,F20+(30-13)/1000)</f>
        <v>-1</v>
      </c>
      <c r="I20" s="42">
        <v>14</v>
      </c>
      <c r="J20" s="42" t="str">
        <f>IF(LARGE($G$7:$G$36,14)&lt;0,"",INDEX($A$7:$A$36,MATCH(LARGE($G$7:$G$36,14),$G$7:$G$36,0)))</f>
        <v/>
      </c>
      <c r="K20" s="33" t="str">
        <f t="shared" si="0"/>
        <v/>
      </c>
      <c r="L20" s="43" t="str">
        <f t="shared" si="1"/>
        <v/>
      </c>
      <c r="M20" s="44" t="str">
        <f t="shared" si="2"/>
        <v/>
      </c>
      <c r="N20" s="44" t="str">
        <f>IF(J20="","",SUM($L$7:L20)/SUM($L$7:$L$36))</f>
        <v/>
      </c>
      <c r="O20" s="33" t="str">
        <f t="shared" si="3"/>
        <v/>
      </c>
      <c r="Q20" s="52" t="str">
        <f>IF(INDEX(DS_MAY,14)="","",INDEX(DS_MAY,14))</f>
        <v/>
      </c>
    </row>
    <row r="21" spans="1:17" x14ac:dyDescent="0.2">
      <c r="A21" s="42" t="str">
        <f>IF(INDEX(DS_LYDO,15)="","",INDEX(DS_LYDO,15))</f>
        <v/>
      </c>
      <c r="B21" s="33" t="str">
        <f>IF(A21="","",INDEX(LYDO_TEN,15))</f>
        <v/>
      </c>
      <c r="C21" s="42" t="str">
        <f>IF(A21="","",INDEX(LYDO_LOAI,15))</f>
        <v/>
      </c>
      <c r="D21" s="33" t="str">
        <f>IF(A21="","",INDEX(LYDO_BP,15))</f>
        <v/>
      </c>
      <c r="E21" s="42" t="str">
        <f>IF(A21="","",COUNTIFS('3 Nhật ký dừng máy'!$F$6:$F$1005,A21,'3 Nhật ký dừng máy'!$A$6:$A$1005,"&gt;="&amp;$B$4,'3 Nhật ký dừng máy'!$A$6:$A$1005,"&lt;="&amp;$D$4,'3 Nhật ký dừng máy'!$C$6:$C$1005,IF($F$4="Tất cả","*",$F$4)))</f>
        <v/>
      </c>
      <c r="F21" s="43" t="str">
        <f>IF(A21="","",SUMIFS('3 Nhật ký dừng máy'!$I$6:$I$1005,'3 Nhật ký dừng máy'!$F$6:$F$1005,A21,'3 Nhật ký dừng máy'!$A$6:$A$1005,"&gt;="&amp;$B$4,'3 Nhật ký dừng máy'!$A$6:$A$1005,"&lt;="&amp;$D$4,'3 Nhật ký dừng máy'!$C$6:$C$1005,IF($F$4="Tất cả","*",$F$4)))</f>
        <v/>
      </c>
      <c r="G21" s="53">
        <f>IF(OR(A21="",C21&lt;&gt;"Ngoài kế hoạch",N(F21)&lt;=0),-1,F21+(30-14)/1000)</f>
        <v>-1</v>
      </c>
      <c r="I21" s="42">
        <v>15</v>
      </c>
      <c r="J21" s="42" t="str">
        <f>IF(LARGE($G$7:$G$36,15)&lt;0,"",INDEX($A$7:$A$36,MATCH(LARGE($G$7:$G$36,15),$G$7:$G$36,0)))</f>
        <v/>
      </c>
      <c r="K21" s="33" t="str">
        <f t="shared" si="0"/>
        <v/>
      </c>
      <c r="L21" s="43" t="str">
        <f t="shared" si="1"/>
        <v/>
      </c>
      <c r="M21" s="44" t="str">
        <f t="shared" si="2"/>
        <v/>
      </c>
      <c r="N21" s="44" t="str">
        <f>IF(J21="","",SUM($L$7:L21)/SUM($L$7:$L$36))</f>
        <v/>
      </c>
      <c r="O21" s="33" t="str">
        <f t="shared" si="3"/>
        <v/>
      </c>
      <c r="Q21" s="52" t="str">
        <f>IF(INDEX(DS_MAY,15)="","",INDEX(DS_MAY,15))</f>
        <v/>
      </c>
    </row>
    <row r="22" spans="1:17" x14ac:dyDescent="0.2">
      <c r="A22" s="42" t="str">
        <f>IF(INDEX(DS_LYDO,16)="","",INDEX(DS_LYDO,16))</f>
        <v/>
      </c>
      <c r="B22" s="33" t="str">
        <f>IF(A22="","",INDEX(LYDO_TEN,16))</f>
        <v/>
      </c>
      <c r="C22" s="42" t="str">
        <f>IF(A22="","",INDEX(LYDO_LOAI,16))</f>
        <v/>
      </c>
      <c r="D22" s="33" t="str">
        <f>IF(A22="","",INDEX(LYDO_BP,16))</f>
        <v/>
      </c>
      <c r="E22" s="42" t="str">
        <f>IF(A22="","",COUNTIFS('3 Nhật ký dừng máy'!$F$6:$F$1005,A22,'3 Nhật ký dừng máy'!$A$6:$A$1005,"&gt;="&amp;$B$4,'3 Nhật ký dừng máy'!$A$6:$A$1005,"&lt;="&amp;$D$4,'3 Nhật ký dừng máy'!$C$6:$C$1005,IF($F$4="Tất cả","*",$F$4)))</f>
        <v/>
      </c>
      <c r="F22" s="43" t="str">
        <f>IF(A22="","",SUMIFS('3 Nhật ký dừng máy'!$I$6:$I$1005,'3 Nhật ký dừng máy'!$F$6:$F$1005,A22,'3 Nhật ký dừng máy'!$A$6:$A$1005,"&gt;="&amp;$B$4,'3 Nhật ký dừng máy'!$A$6:$A$1005,"&lt;="&amp;$D$4,'3 Nhật ký dừng máy'!$C$6:$C$1005,IF($F$4="Tất cả","*",$F$4)))</f>
        <v/>
      </c>
      <c r="G22" s="53">
        <f>IF(OR(A22="",C22&lt;&gt;"Ngoài kế hoạch",N(F22)&lt;=0),-1,F22+(30-15)/1000)</f>
        <v>-1</v>
      </c>
      <c r="I22" s="42">
        <v>16</v>
      </c>
      <c r="J22" s="42" t="str">
        <f>IF(LARGE($G$7:$G$36,16)&lt;0,"",INDEX($A$7:$A$36,MATCH(LARGE($G$7:$G$36,16),$G$7:$G$36,0)))</f>
        <v/>
      </c>
      <c r="K22" s="33" t="str">
        <f t="shared" si="0"/>
        <v/>
      </c>
      <c r="L22" s="43" t="str">
        <f t="shared" si="1"/>
        <v/>
      </c>
      <c r="M22" s="44" t="str">
        <f t="shared" si="2"/>
        <v/>
      </c>
      <c r="N22" s="44" t="str">
        <f>IF(J22="","",SUM($L$7:L22)/SUM($L$7:$L$36))</f>
        <v/>
      </c>
      <c r="O22" s="33" t="str">
        <f t="shared" si="3"/>
        <v/>
      </c>
      <c r="Q22" s="52" t="str">
        <f>IF(INDEX(DS_MAY,16)="","",INDEX(DS_MAY,16))</f>
        <v/>
      </c>
    </row>
    <row r="23" spans="1:17" x14ac:dyDescent="0.2">
      <c r="A23" s="42" t="str">
        <f>IF(INDEX(DS_LYDO,17)="","",INDEX(DS_LYDO,17))</f>
        <v/>
      </c>
      <c r="B23" s="33" t="str">
        <f>IF(A23="","",INDEX(LYDO_TEN,17))</f>
        <v/>
      </c>
      <c r="C23" s="42" t="str">
        <f>IF(A23="","",INDEX(LYDO_LOAI,17))</f>
        <v/>
      </c>
      <c r="D23" s="33" t="str">
        <f>IF(A23="","",INDEX(LYDO_BP,17))</f>
        <v/>
      </c>
      <c r="E23" s="42" t="str">
        <f>IF(A23="","",COUNTIFS('3 Nhật ký dừng máy'!$F$6:$F$1005,A23,'3 Nhật ký dừng máy'!$A$6:$A$1005,"&gt;="&amp;$B$4,'3 Nhật ký dừng máy'!$A$6:$A$1005,"&lt;="&amp;$D$4,'3 Nhật ký dừng máy'!$C$6:$C$1005,IF($F$4="Tất cả","*",$F$4)))</f>
        <v/>
      </c>
      <c r="F23" s="43" t="str">
        <f>IF(A23="","",SUMIFS('3 Nhật ký dừng máy'!$I$6:$I$1005,'3 Nhật ký dừng máy'!$F$6:$F$1005,A23,'3 Nhật ký dừng máy'!$A$6:$A$1005,"&gt;="&amp;$B$4,'3 Nhật ký dừng máy'!$A$6:$A$1005,"&lt;="&amp;$D$4,'3 Nhật ký dừng máy'!$C$6:$C$1005,IF($F$4="Tất cả","*",$F$4)))</f>
        <v/>
      </c>
      <c r="G23" s="53">
        <f>IF(OR(A23="",C23&lt;&gt;"Ngoài kế hoạch",N(F23)&lt;=0),-1,F23+(30-16)/1000)</f>
        <v>-1</v>
      </c>
      <c r="I23" s="42">
        <v>17</v>
      </c>
      <c r="J23" s="42" t="str">
        <f>IF(LARGE($G$7:$G$36,17)&lt;0,"",INDEX($A$7:$A$36,MATCH(LARGE($G$7:$G$36,17),$G$7:$G$36,0)))</f>
        <v/>
      </c>
      <c r="K23" s="33" t="str">
        <f t="shared" si="0"/>
        <v/>
      </c>
      <c r="L23" s="43" t="str">
        <f t="shared" si="1"/>
        <v/>
      </c>
      <c r="M23" s="44" t="str">
        <f t="shared" si="2"/>
        <v/>
      </c>
      <c r="N23" s="44" t="str">
        <f>IF(J23="","",SUM($L$7:L23)/SUM($L$7:$L$36))</f>
        <v/>
      </c>
      <c r="O23" s="33" t="str">
        <f t="shared" si="3"/>
        <v/>
      </c>
      <c r="Q23" s="52" t="str">
        <f>IF(INDEX(DS_MAY,17)="","",INDEX(DS_MAY,17))</f>
        <v/>
      </c>
    </row>
    <row r="24" spans="1:17" x14ac:dyDescent="0.2">
      <c r="A24" s="42" t="str">
        <f>IF(INDEX(DS_LYDO,18)="","",INDEX(DS_LYDO,18))</f>
        <v/>
      </c>
      <c r="B24" s="33" t="str">
        <f>IF(A24="","",INDEX(LYDO_TEN,18))</f>
        <v/>
      </c>
      <c r="C24" s="42" t="str">
        <f>IF(A24="","",INDEX(LYDO_LOAI,18))</f>
        <v/>
      </c>
      <c r="D24" s="33" t="str">
        <f>IF(A24="","",INDEX(LYDO_BP,18))</f>
        <v/>
      </c>
      <c r="E24" s="42" t="str">
        <f>IF(A24="","",COUNTIFS('3 Nhật ký dừng máy'!$F$6:$F$1005,A24,'3 Nhật ký dừng máy'!$A$6:$A$1005,"&gt;="&amp;$B$4,'3 Nhật ký dừng máy'!$A$6:$A$1005,"&lt;="&amp;$D$4,'3 Nhật ký dừng máy'!$C$6:$C$1005,IF($F$4="Tất cả","*",$F$4)))</f>
        <v/>
      </c>
      <c r="F24" s="43" t="str">
        <f>IF(A24="","",SUMIFS('3 Nhật ký dừng máy'!$I$6:$I$1005,'3 Nhật ký dừng máy'!$F$6:$F$1005,A24,'3 Nhật ký dừng máy'!$A$6:$A$1005,"&gt;="&amp;$B$4,'3 Nhật ký dừng máy'!$A$6:$A$1005,"&lt;="&amp;$D$4,'3 Nhật ký dừng máy'!$C$6:$C$1005,IF($F$4="Tất cả","*",$F$4)))</f>
        <v/>
      </c>
      <c r="G24" s="53">
        <f>IF(OR(A24="",C24&lt;&gt;"Ngoài kế hoạch",N(F24)&lt;=0),-1,F24+(30-17)/1000)</f>
        <v>-1</v>
      </c>
      <c r="I24" s="42">
        <v>18</v>
      </c>
      <c r="J24" s="42" t="str">
        <f>IF(LARGE($G$7:$G$36,18)&lt;0,"",INDEX($A$7:$A$36,MATCH(LARGE($G$7:$G$36,18),$G$7:$G$36,0)))</f>
        <v/>
      </c>
      <c r="K24" s="33" t="str">
        <f t="shared" si="0"/>
        <v/>
      </c>
      <c r="L24" s="43" t="str">
        <f t="shared" si="1"/>
        <v/>
      </c>
      <c r="M24" s="44" t="str">
        <f t="shared" si="2"/>
        <v/>
      </c>
      <c r="N24" s="44" t="str">
        <f>IF(J24="","",SUM($L$7:L24)/SUM($L$7:$L$36))</f>
        <v/>
      </c>
      <c r="O24" s="33" t="str">
        <f t="shared" si="3"/>
        <v/>
      </c>
      <c r="Q24" s="52" t="str">
        <f>IF(INDEX(DS_MAY,18)="","",INDEX(DS_MAY,18))</f>
        <v/>
      </c>
    </row>
    <row r="25" spans="1:17" x14ac:dyDescent="0.2">
      <c r="A25" s="42" t="str">
        <f>IF(INDEX(DS_LYDO,19)="","",INDEX(DS_LYDO,19))</f>
        <v/>
      </c>
      <c r="B25" s="33" t="str">
        <f>IF(A25="","",INDEX(LYDO_TEN,19))</f>
        <v/>
      </c>
      <c r="C25" s="42" t="str">
        <f>IF(A25="","",INDEX(LYDO_LOAI,19))</f>
        <v/>
      </c>
      <c r="D25" s="33" t="str">
        <f>IF(A25="","",INDEX(LYDO_BP,19))</f>
        <v/>
      </c>
      <c r="E25" s="42" t="str">
        <f>IF(A25="","",COUNTIFS('3 Nhật ký dừng máy'!$F$6:$F$1005,A25,'3 Nhật ký dừng máy'!$A$6:$A$1005,"&gt;="&amp;$B$4,'3 Nhật ký dừng máy'!$A$6:$A$1005,"&lt;="&amp;$D$4,'3 Nhật ký dừng máy'!$C$6:$C$1005,IF($F$4="Tất cả","*",$F$4)))</f>
        <v/>
      </c>
      <c r="F25" s="43" t="str">
        <f>IF(A25="","",SUMIFS('3 Nhật ký dừng máy'!$I$6:$I$1005,'3 Nhật ký dừng máy'!$F$6:$F$1005,A25,'3 Nhật ký dừng máy'!$A$6:$A$1005,"&gt;="&amp;$B$4,'3 Nhật ký dừng máy'!$A$6:$A$1005,"&lt;="&amp;$D$4,'3 Nhật ký dừng máy'!$C$6:$C$1005,IF($F$4="Tất cả","*",$F$4)))</f>
        <v/>
      </c>
      <c r="G25" s="53">
        <f>IF(OR(A25="",C25&lt;&gt;"Ngoài kế hoạch",N(F25)&lt;=0),-1,F25+(30-18)/1000)</f>
        <v>-1</v>
      </c>
      <c r="I25" s="42">
        <v>19</v>
      </c>
      <c r="J25" s="42" t="str">
        <f>IF(LARGE($G$7:$G$36,19)&lt;0,"",INDEX($A$7:$A$36,MATCH(LARGE($G$7:$G$36,19),$G$7:$G$36,0)))</f>
        <v/>
      </c>
      <c r="K25" s="33" t="str">
        <f t="shared" si="0"/>
        <v/>
      </c>
      <c r="L25" s="43" t="str">
        <f t="shared" si="1"/>
        <v/>
      </c>
      <c r="M25" s="44" t="str">
        <f t="shared" si="2"/>
        <v/>
      </c>
      <c r="N25" s="44" t="str">
        <f>IF(J25="","",SUM($L$7:L25)/SUM($L$7:$L$36))</f>
        <v/>
      </c>
      <c r="O25" s="33" t="str">
        <f t="shared" si="3"/>
        <v/>
      </c>
      <c r="Q25" s="52" t="str">
        <f>IF(INDEX(DS_MAY,19)="","",INDEX(DS_MAY,19))</f>
        <v/>
      </c>
    </row>
    <row r="26" spans="1:17" x14ac:dyDescent="0.2">
      <c r="A26" s="42" t="str">
        <f>IF(INDEX(DS_LYDO,20)="","",INDEX(DS_LYDO,20))</f>
        <v/>
      </c>
      <c r="B26" s="33" t="str">
        <f>IF(A26="","",INDEX(LYDO_TEN,20))</f>
        <v/>
      </c>
      <c r="C26" s="42" t="str">
        <f>IF(A26="","",INDEX(LYDO_LOAI,20))</f>
        <v/>
      </c>
      <c r="D26" s="33" t="str">
        <f>IF(A26="","",INDEX(LYDO_BP,20))</f>
        <v/>
      </c>
      <c r="E26" s="42" t="str">
        <f>IF(A26="","",COUNTIFS('3 Nhật ký dừng máy'!$F$6:$F$1005,A26,'3 Nhật ký dừng máy'!$A$6:$A$1005,"&gt;="&amp;$B$4,'3 Nhật ký dừng máy'!$A$6:$A$1005,"&lt;="&amp;$D$4,'3 Nhật ký dừng máy'!$C$6:$C$1005,IF($F$4="Tất cả","*",$F$4)))</f>
        <v/>
      </c>
      <c r="F26" s="43" t="str">
        <f>IF(A26="","",SUMIFS('3 Nhật ký dừng máy'!$I$6:$I$1005,'3 Nhật ký dừng máy'!$F$6:$F$1005,A26,'3 Nhật ký dừng máy'!$A$6:$A$1005,"&gt;="&amp;$B$4,'3 Nhật ký dừng máy'!$A$6:$A$1005,"&lt;="&amp;$D$4,'3 Nhật ký dừng máy'!$C$6:$C$1005,IF($F$4="Tất cả","*",$F$4)))</f>
        <v/>
      </c>
      <c r="G26" s="53">
        <f>IF(OR(A26="",C26&lt;&gt;"Ngoài kế hoạch",N(F26)&lt;=0),-1,F26+(30-19)/1000)</f>
        <v>-1</v>
      </c>
      <c r="I26" s="42">
        <v>20</v>
      </c>
      <c r="J26" s="42" t="str">
        <f>IF(LARGE($G$7:$G$36,20)&lt;0,"",INDEX($A$7:$A$36,MATCH(LARGE($G$7:$G$36,20),$G$7:$G$36,0)))</f>
        <v/>
      </c>
      <c r="K26" s="33" t="str">
        <f t="shared" si="0"/>
        <v/>
      </c>
      <c r="L26" s="43" t="str">
        <f t="shared" si="1"/>
        <v/>
      </c>
      <c r="M26" s="44" t="str">
        <f t="shared" si="2"/>
        <v/>
      </c>
      <c r="N26" s="44" t="str">
        <f>IF(J26="","",SUM($L$7:L26)/SUM($L$7:$L$36))</f>
        <v/>
      </c>
      <c r="O26" s="33" t="str">
        <f t="shared" si="3"/>
        <v/>
      </c>
      <c r="Q26" s="52" t="str">
        <f>IF(INDEX(DS_MAY,20)="","",INDEX(DS_MAY,20))</f>
        <v/>
      </c>
    </row>
    <row r="27" spans="1:17" x14ac:dyDescent="0.2">
      <c r="A27" s="42" t="str">
        <f>IF(INDEX(DS_LYDO,21)="","",INDEX(DS_LYDO,21))</f>
        <v/>
      </c>
      <c r="B27" s="33" t="str">
        <f>IF(A27="","",INDEX(LYDO_TEN,21))</f>
        <v/>
      </c>
      <c r="C27" s="42" t="str">
        <f>IF(A27="","",INDEX(LYDO_LOAI,21))</f>
        <v/>
      </c>
      <c r="D27" s="33" t="str">
        <f>IF(A27="","",INDEX(LYDO_BP,21))</f>
        <v/>
      </c>
      <c r="E27" s="42" t="str">
        <f>IF(A27="","",COUNTIFS('3 Nhật ký dừng máy'!$F$6:$F$1005,A27,'3 Nhật ký dừng máy'!$A$6:$A$1005,"&gt;="&amp;$B$4,'3 Nhật ký dừng máy'!$A$6:$A$1005,"&lt;="&amp;$D$4,'3 Nhật ký dừng máy'!$C$6:$C$1005,IF($F$4="Tất cả","*",$F$4)))</f>
        <v/>
      </c>
      <c r="F27" s="43" t="str">
        <f>IF(A27="","",SUMIFS('3 Nhật ký dừng máy'!$I$6:$I$1005,'3 Nhật ký dừng máy'!$F$6:$F$1005,A27,'3 Nhật ký dừng máy'!$A$6:$A$1005,"&gt;="&amp;$B$4,'3 Nhật ký dừng máy'!$A$6:$A$1005,"&lt;="&amp;$D$4,'3 Nhật ký dừng máy'!$C$6:$C$1005,IF($F$4="Tất cả","*",$F$4)))</f>
        <v/>
      </c>
      <c r="G27" s="53">
        <f>IF(OR(A27="",C27&lt;&gt;"Ngoài kế hoạch",N(F27)&lt;=0),-1,F27+(30-20)/1000)</f>
        <v>-1</v>
      </c>
      <c r="I27" s="42">
        <v>21</v>
      </c>
      <c r="J27" s="42" t="str">
        <f>IF(LARGE($G$7:$G$36,21)&lt;0,"",INDEX($A$7:$A$36,MATCH(LARGE($G$7:$G$36,21),$G$7:$G$36,0)))</f>
        <v/>
      </c>
      <c r="K27" s="33" t="str">
        <f t="shared" si="0"/>
        <v/>
      </c>
      <c r="L27" s="43" t="str">
        <f t="shared" si="1"/>
        <v/>
      </c>
      <c r="M27" s="44" t="str">
        <f t="shared" si="2"/>
        <v/>
      </c>
      <c r="N27" s="44" t="str">
        <f>IF(J27="","",SUM($L$7:L27)/SUM($L$7:$L$36))</f>
        <v/>
      </c>
      <c r="O27" s="33" t="str">
        <f t="shared" si="3"/>
        <v/>
      </c>
    </row>
    <row r="28" spans="1:17" x14ac:dyDescent="0.2">
      <c r="A28" s="42" t="str">
        <f>IF(INDEX(DS_LYDO,22)="","",INDEX(DS_LYDO,22))</f>
        <v/>
      </c>
      <c r="B28" s="33" t="str">
        <f>IF(A28="","",INDEX(LYDO_TEN,22))</f>
        <v/>
      </c>
      <c r="C28" s="42" t="str">
        <f>IF(A28="","",INDEX(LYDO_LOAI,22))</f>
        <v/>
      </c>
      <c r="D28" s="33" t="str">
        <f>IF(A28="","",INDEX(LYDO_BP,22))</f>
        <v/>
      </c>
      <c r="E28" s="42" t="str">
        <f>IF(A28="","",COUNTIFS('3 Nhật ký dừng máy'!$F$6:$F$1005,A28,'3 Nhật ký dừng máy'!$A$6:$A$1005,"&gt;="&amp;$B$4,'3 Nhật ký dừng máy'!$A$6:$A$1005,"&lt;="&amp;$D$4,'3 Nhật ký dừng máy'!$C$6:$C$1005,IF($F$4="Tất cả","*",$F$4)))</f>
        <v/>
      </c>
      <c r="F28" s="43" t="str">
        <f>IF(A28="","",SUMIFS('3 Nhật ký dừng máy'!$I$6:$I$1005,'3 Nhật ký dừng máy'!$F$6:$F$1005,A28,'3 Nhật ký dừng máy'!$A$6:$A$1005,"&gt;="&amp;$B$4,'3 Nhật ký dừng máy'!$A$6:$A$1005,"&lt;="&amp;$D$4,'3 Nhật ký dừng máy'!$C$6:$C$1005,IF($F$4="Tất cả","*",$F$4)))</f>
        <v/>
      </c>
      <c r="G28" s="53">
        <f>IF(OR(A28="",C28&lt;&gt;"Ngoài kế hoạch",N(F28)&lt;=0),-1,F28+(30-21)/1000)</f>
        <v>-1</v>
      </c>
      <c r="I28" s="42">
        <v>22</v>
      </c>
      <c r="J28" s="42" t="str">
        <f>IF(LARGE($G$7:$G$36,22)&lt;0,"",INDEX($A$7:$A$36,MATCH(LARGE($G$7:$G$36,22),$G$7:$G$36,0)))</f>
        <v/>
      </c>
      <c r="K28" s="33" t="str">
        <f t="shared" si="0"/>
        <v/>
      </c>
      <c r="L28" s="43" t="str">
        <f t="shared" si="1"/>
        <v/>
      </c>
      <c r="M28" s="44" t="str">
        <f t="shared" si="2"/>
        <v/>
      </c>
      <c r="N28" s="44" t="str">
        <f>IF(J28="","",SUM($L$7:L28)/SUM($L$7:$L$36))</f>
        <v/>
      </c>
      <c r="O28" s="33" t="str">
        <f t="shared" si="3"/>
        <v/>
      </c>
    </row>
    <row r="29" spans="1:17" x14ac:dyDescent="0.2">
      <c r="A29" s="42" t="str">
        <f>IF(INDEX(DS_LYDO,23)="","",INDEX(DS_LYDO,23))</f>
        <v/>
      </c>
      <c r="B29" s="33" t="str">
        <f>IF(A29="","",INDEX(LYDO_TEN,23))</f>
        <v/>
      </c>
      <c r="C29" s="42" t="str">
        <f>IF(A29="","",INDEX(LYDO_LOAI,23))</f>
        <v/>
      </c>
      <c r="D29" s="33" t="str">
        <f>IF(A29="","",INDEX(LYDO_BP,23))</f>
        <v/>
      </c>
      <c r="E29" s="42" t="str">
        <f>IF(A29="","",COUNTIFS('3 Nhật ký dừng máy'!$F$6:$F$1005,A29,'3 Nhật ký dừng máy'!$A$6:$A$1005,"&gt;="&amp;$B$4,'3 Nhật ký dừng máy'!$A$6:$A$1005,"&lt;="&amp;$D$4,'3 Nhật ký dừng máy'!$C$6:$C$1005,IF($F$4="Tất cả","*",$F$4)))</f>
        <v/>
      </c>
      <c r="F29" s="43" t="str">
        <f>IF(A29="","",SUMIFS('3 Nhật ký dừng máy'!$I$6:$I$1005,'3 Nhật ký dừng máy'!$F$6:$F$1005,A29,'3 Nhật ký dừng máy'!$A$6:$A$1005,"&gt;="&amp;$B$4,'3 Nhật ký dừng máy'!$A$6:$A$1005,"&lt;="&amp;$D$4,'3 Nhật ký dừng máy'!$C$6:$C$1005,IF($F$4="Tất cả","*",$F$4)))</f>
        <v/>
      </c>
      <c r="G29" s="53">
        <f>IF(OR(A29="",C29&lt;&gt;"Ngoài kế hoạch",N(F29)&lt;=0),-1,F29+(30-22)/1000)</f>
        <v>-1</v>
      </c>
      <c r="I29" s="42">
        <v>23</v>
      </c>
      <c r="J29" s="42" t="str">
        <f>IF(LARGE($G$7:$G$36,23)&lt;0,"",INDEX($A$7:$A$36,MATCH(LARGE($G$7:$G$36,23),$G$7:$G$36,0)))</f>
        <v/>
      </c>
      <c r="K29" s="33" t="str">
        <f t="shared" si="0"/>
        <v/>
      </c>
      <c r="L29" s="43" t="str">
        <f t="shared" si="1"/>
        <v/>
      </c>
      <c r="M29" s="44" t="str">
        <f t="shared" si="2"/>
        <v/>
      </c>
      <c r="N29" s="44" t="str">
        <f>IF(J29="","",SUM($L$7:L29)/SUM($L$7:$L$36))</f>
        <v/>
      </c>
      <c r="O29" s="33" t="str">
        <f t="shared" si="3"/>
        <v/>
      </c>
    </row>
    <row r="30" spans="1:17" x14ac:dyDescent="0.2">
      <c r="A30" s="42" t="str">
        <f>IF(INDEX(DS_LYDO,24)="","",INDEX(DS_LYDO,24))</f>
        <v/>
      </c>
      <c r="B30" s="33" t="str">
        <f>IF(A30="","",INDEX(LYDO_TEN,24))</f>
        <v/>
      </c>
      <c r="C30" s="42" t="str">
        <f>IF(A30="","",INDEX(LYDO_LOAI,24))</f>
        <v/>
      </c>
      <c r="D30" s="33" t="str">
        <f>IF(A30="","",INDEX(LYDO_BP,24))</f>
        <v/>
      </c>
      <c r="E30" s="42" t="str">
        <f>IF(A30="","",COUNTIFS('3 Nhật ký dừng máy'!$F$6:$F$1005,A30,'3 Nhật ký dừng máy'!$A$6:$A$1005,"&gt;="&amp;$B$4,'3 Nhật ký dừng máy'!$A$6:$A$1005,"&lt;="&amp;$D$4,'3 Nhật ký dừng máy'!$C$6:$C$1005,IF($F$4="Tất cả","*",$F$4)))</f>
        <v/>
      </c>
      <c r="F30" s="43" t="str">
        <f>IF(A30="","",SUMIFS('3 Nhật ký dừng máy'!$I$6:$I$1005,'3 Nhật ký dừng máy'!$F$6:$F$1005,A30,'3 Nhật ký dừng máy'!$A$6:$A$1005,"&gt;="&amp;$B$4,'3 Nhật ký dừng máy'!$A$6:$A$1005,"&lt;="&amp;$D$4,'3 Nhật ký dừng máy'!$C$6:$C$1005,IF($F$4="Tất cả","*",$F$4)))</f>
        <v/>
      </c>
      <c r="G30" s="53">
        <f>IF(OR(A30="",C30&lt;&gt;"Ngoài kế hoạch",N(F30)&lt;=0),-1,F30+(30-23)/1000)</f>
        <v>-1</v>
      </c>
      <c r="I30" s="42">
        <v>24</v>
      </c>
      <c r="J30" s="42" t="str">
        <f>IF(LARGE($G$7:$G$36,24)&lt;0,"",INDEX($A$7:$A$36,MATCH(LARGE($G$7:$G$36,24),$G$7:$G$36,0)))</f>
        <v/>
      </c>
      <c r="K30" s="33" t="str">
        <f t="shared" si="0"/>
        <v/>
      </c>
      <c r="L30" s="43" t="str">
        <f t="shared" si="1"/>
        <v/>
      </c>
      <c r="M30" s="44" t="str">
        <f t="shared" si="2"/>
        <v/>
      </c>
      <c r="N30" s="44" t="str">
        <f>IF(J30="","",SUM($L$7:L30)/SUM($L$7:$L$36))</f>
        <v/>
      </c>
      <c r="O30" s="33" t="str">
        <f t="shared" si="3"/>
        <v/>
      </c>
    </row>
    <row r="31" spans="1:17" x14ac:dyDescent="0.2">
      <c r="A31" s="42" t="str">
        <f>IF(INDEX(DS_LYDO,25)="","",INDEX(DS_LYDO,25))</f>
        <v/>
      </c>
      <c r="B31" s="33" t="str">
        <f>IF(A31="","",INDEX(LYDO_TEN,25))</f>
        <v/>
      </c>
      <c r="C31" s="42" t="str">
        <f>IF(A31="","",INDEX(LYDO_LOAI,25))</f>
        <v/>
      </c>
      <c r="D31" s="33" t="str">
        <f>IF(A31="","",INDEX(LYDO_BP,25))</f>
        <v/>
      </c>
      <c r="E31" s="42" t="str">
        <f>IF(A31="","",COUNTIFS('3 Nhật ký dừng máy'!$F$6:$F$1005,A31,'3 Nhật ký dừng máy'!$A$6:$A$1005,"&gt;="&amp;$B$4,'3 Nhật ký dừng máy'!$A$6:$A$1005,"&lt;="&amp;$D$4,'3 Nhật ký dừng máy'!$C$6:$C$1005,IF($F$4="Tất cả","*",$F$4)))</f>
        <v/>
      </c>
      <c r="F31" s="43" t="str">
        <f>IF(A31="","",SUMIFS('3 Nhật ký dừng máy'!$I$6:$I$1005,'3 Nhật ký dừng máy'!$F$6:$F$1005,A31,'3 Nhật ký dừng máy'!$A$6:$A$1005,"&gt;="&amp;$B$4,'3 Nhật ký dừng máy'!$A$6:$A$1005,"&lt;="&amp;$D$4,'3 Nhật ký dừng máy'!$C$6:$C$1005,IF($F$4="Tất cả","*",$F$4)))</f>
        <v/>
      </c>
      <c r="G31" s="53">
        <f>IF(OR(A31="",C31&lt;&gt;"Ngoài kế hoạch",N(F31)&lt;=0),-1,F31+(30-24)/1000)</f>
        <v>-1</v>
      </c>
      <c r="I31" s="42">
        <v>25</v>
      </c>
      <c r="J31" s="42" t="str">
        <f>IF(LARGE($G$7:$G$36,25)&lt;0,"",INDEX($A$7:$A$36,MATCH(LARGE($G$7:$G$36,25),$G$7:$G$36,0)))</f>
        <v/>
      </c>
      <c r="K31" s="33" t="str">
        <f t="shared" si="0"/>
        <v/>
      </c>
      <c r="L31" s="43" t="str">
        <f t="shared" si="1"/>
        <v/>
      </c>
      <c r="M31" s="44" t="str">
        <f t="shared" si="2"/>
        <v/>
      </c>
      <c r="N31" s="44" t="str">
        <f>IF(J31="","",SUM($L$7:L31)/SUM($L$7:$L$36))</f>
        <v/>
      </c>
      <c r="O31" s="33" t="str">
        <f t="shared" si="3"/>
        <v/>
      </c>
    </row>
    <row r="32" spans="1:17" x14ac:dyDescent="0.2">
      <c r="A32" s="42" t="str">
        <f>IF(INDEX(DS_LYDO,26)="","",INDEX(DS_LYDO,26))</f>
        <v/>
      </c>
      <c r="B32" s="33" t="str">
        <f>IF(A32="","",INDEX(LYDO_TEN,26))</f>
        <v/>
      </c>
      <c r="C32" s="42" t="str">
        <f>IF(A32="","",INDEX(LYDO_LOAI,26))</f>
        <v/>
      </c>
      <c r="D32" s="33" t="str">
        <f>IF(A32="","",INDEX(LYDO_BP,26))</f>
        <v/>
      </c>
      <c r="E32" s="42" t="str">
        <f>IF(A32="","",COUNTIFS('3 Nhật ký dừng máy'!$F$6:$F$1005,A32,'3 Nhật ký dừng máy'!$A$6:$A$1005,"&gt;="&amp;$B$4,'3 Nhật ký dừng máy'!$A$6:$A$1005,"&lt;="&amp;$D$4,'3 Nhật ký dừng máy'!$C$6:$C$1005,IF($F$4="Tất cả","*",$F$4)))</f>
        <v/>
      </c>
      <c r="F32" s="43" t="str">
        <f>IF(A32="","",SUMIFS('3 Nhật ký dừng máy'!$I$6:$I$1005,'3 Nhật ký dừng máy'!$F$6:$F$1005,A32,'3 Nhật ký dừng máy'!$A$6:$A$1005,"&gt;="&amp;$B$4,'3 Nhật ký dừng máy'!$A$6:$A$1005,"&lt;="&amp;$D$4,'3 Nhật ký dừng máy'!$C$6:$C$1005,IF($F$4="Tất cả","*",$F$4)))</f>
        <v/>
      </c>
      <c r="G32" s="53">
        <f>IF(OR(A32="",C32&lt;&gt;"Ngoài kế hoạch",N(F32)&lt;=0),-1,F32+(30-25)/1000)</f>
        <v>-1</v>
      </c>
      <c r="I32" s="42">
        <v>26</v>
      </c>
      <c r="J32" s="42" t="str">
        <f>IF(LARGE($G$7:$G$36,26)&lt;0,"",INDEX($A$7:$A$36,MATCH(LARGE($G$7:$G$36,26),$G$7:$G$36,0)))</f>
        <v/>
      </c>
      <c r="K32" s="33" t="str">
        <f t="shared" si="0"/>
        <v/>
      </c>
      <c r="L32" s="43" t="str">
        <f t="shared" si="1"/>
        <v/>
      </c>
      <c r="M32" s="44" t="str">
        <f t="shared" si="2"/>
        <v/>
      </c>
      <c r="N32" s="44" t="str">
        <f>IF(J32="","",SUM($L$7:L32)/SUM($L$7:$L$36))</f>
        <v/>
      </c>
      <c r="O32" s="33" t="str">
        <f t="shared" si="3"/>
        <v/>
      </c>
    </row>
    <row r="33" spans="1:15" x14ac:dyDescent="0.2">
      <c r="A33" s="42" t="str">
        <f>IF(INDEX(DS_LYDO,27)="","",INDEX(DS_LYDO,27))</f>
        <v/>
      </c>
      <c r="B33" s="33" t="str">
        <f>IF(A33="","",INDEX(LYDO_TEN,27))</f>
        <v/>
      </c>
      <c r="C33" s="42" t="str">
        <f>IF(A33="","",INDEX(LYDO_LOAI,27))</f>
        <v/>
      </c>
      <c r="D33" s="33" t="str">
        <f>IF(A33="","",INDEX(LYDO_BP,27))</f>
        <v/>
      </c>
      <c r="E33" s="42" t="str">
        <f>IF(A33="","",COUNTIFS('3 Nhật ký dừng máy'!$F$6:$F$1005,A33,'3 Nhật ký dừng máy'!$A$6:$A$1005,"&gt;="&amp;$B$4,'3 Nhật ký dừng máy'!$A$6:$A$1005,"&lt;="&amp;$D$4,'3 Nhật ký dừng máy'!$C$6:$C$1005,IF($F$4="Tất cả","*",$F$4)))</f>
        <v/>
      </c>
      <c r="F33" s="43" t="str">
        <f>IF(A33="","",SUMIFS('3 Nhật ký dừng máy'!$I$6:$I$1005,'3 Nhật ký dừng máy'!$F$6:$F$1005,A33,'3 Nhật ký dừng máy'!$A$6:$A$1005,"&gt;="&amp;$B$4,'3 Nhật ký dừng máy'!$A$6:$A$1005,"&lt;="&amp;$D$4,'3 Nhật ký dừng máy'!$C$6:$C$1005,IF($F$4="Tất cả","*",$F$4)))</f>
        <v/>
      </c>
      <c r="G33" s="53">
        <f>IF(OR(A33="",C33&lt;&gt;"Ngoài kế hoạch",N(F33)&lt;=0),-1,F33+(30-26)/1000)</f>
        <v>-1</v>
      </c>
      <c r="I33" s="42">
        <v>27</v>
      </c>
      <c r="J33" s="42" t="str">
        <f>IF(LARGE($G$7:$G$36,27)&lt;0,"",INDEX($A$7:$A$36,MATCH(LARGE($G$7:$G$36,27),$G$7:$G$36,0)))</f>
        <v/>
      </c>
      <c r="K33" s="33" t="str">
        <f t="shared" si="0"/>
        <v/>
      </c>
      <c r="L33" s="43" t="str">
        <f t="shared" si="1"/>
        <v/>
      </c>
      <c r="M33" s="44" t="str">
        <f t="shared" si="2"/>
        <v/>
      </c>
      <c r="N33" s="44" t="str">
        <f>IF(J33="","",SUM($L$7:L33)/SUM($L$7:$L$36))</f>
        <v/>
      </c>
      <c r="O33" s="33" t="str">
        <f t="shared" si="3"/>
        <v/>
      </c>
    </row>
    <row r="34" spans="1:15" x14ac:dyDescent="0.2">
      <c r="A34" s="42" t="str">
        <f>IF(INDEX(DS_LYDO,28)="","",INDEX(DS_LYDO,28))</f>
        <v/>
      </c>
      <c r="B34" s="33" t="str">
        <f>IF(A34="","",INDEX(LYDO_TEN,28))</f>
        <v/>
      </c>
      <c r="C34" s="42" t="str">
        <f>IF(A34="","",INDEX(LYDO_LOAI,28))</f>
        <v/>
      </c>
      <c r="D34" s="33" t="str">
        <f>IF(A34="","",INDEX(LYDO_BP,28))</f>
        <v/>
      </c>
      <c r="E34" s="42" t="str">
        <f>IF(A34="","",COUNTIFS('3 Nhật ký dừng máy'!$F$6:$F$1005,A34,'3 Nhật ký dừng máy'!$A$6:$A$1005,"&gt;="&amp;$B$4,'3 Nhật ký dừng máy'!$A$6:$A$1005,"&lt;="&amp;$D$4,'3 Nhật ký dừng máy'!$C$6:$C$1005,IF($F$4="Tất cả","*",$F$4)))</f>
        <v/>
      </c>
      <c r="F34" s="43" t="str">
        <f>IF(A34="","",SUMIFS('3 Nhật ký dừng máy'!$I$6:$I$1005,'3 Nhật ký dừng máy'!$F$6:$F$1005,A34,'3 Nhật ký dừng máy'!$A$6:$A$1005,"&gt;="&amp;$B$4,'3 Nhật ký dừng máy'!$A$6:$A$1005,"&lt;="&amp;$D$4,'3 Nhật ký dừng máy'!$C$6:$C$1005,IF($F$4="Tất cả","*",$F$4)))</f>
        <v/>
      </c>
      <c r="G34" s="53">
        <f>IF(OR(A34="",C34&lt;&gt;"Ngoài kế hoạch",N(F34)&lt;=0),-1,F34+(30-27)/1000)</f>
        <v>-1</v>
      </c>
      <c r="I34" s="42">
        <v>28</v>
      </c>
      <c r="J34" s="42" t="str">
        <f>IF(LARGE($G$7:$G$36,28)&lt;0,"",INDEX($A$7:$A$36,MATCH(LARGE($G$7:$G$36,28),$G$7:$G$36,0)))</f>
        <v/>
      </c>
      <c r="K34" s="33" t="str">
        <f t="shared" si="0"/>
        <v/>
      </c>
      <c r="L34" s="43" t="str">
        <f t="shared" si="1"/>
        <v/>
      </c>
      <c r="M34" s="44" t="str">
        <f t="shared" si="2"/>
        <v/>
      </c>
      <c r="N34" s="44" t="str">
        <f>IF(J34="","",SUM($L$7:L34)/SUM($L$7:$L$36))</f>
        <v/>
      </c>
      <c r="O34" s="33" t="str">
        <f t="shared" si="3"/>
        <v/>
      </c>
    </row>
    <row r="35" spans="1:15" x14ac:dyDescent="0.2">
      <c r="A35" s="42" t="str">
        <f>IF(INDEX(DS_LYDO,29)="","",INDEX(DS_LYDO,29))</f>
        <v/>
      </c>
      <c r="B35" s="33" t="str">
        <f>IF(A35="","",INDEX(LYDO_TEN,29))</f>
        <v/>
      </c>
      <c r="C35" s="42" t="str">
        <f>IF(A35="","",INDEX(LYDO_LOAI,29))</f>
        <v/>
      </c>
      <c r="D35" s="33" t="str">
        <f>IF(A35="","",INDEX(LYDO_BP,29))</f>
        <v/>
      </c>
      <c r="E35" s="42" t="str">
        <f>IF(A35="","",COUNTIFS('3 Nhật ký dừng máy'!$F$6:$F$1005,A35,'3 Nhật ký dừng máy'!$A$6:$A$1005,"&gt;="&amp;$B$4,'3 Nhật ký dừng máy'!$A$6:$A$1005,"&lt;="&amp;$D$4,'3 Nhật ký dừng máy'!$C$6:$C$1005,IF($F$4="Tất cả","*",$F$4)))</f>
        <v/>
      </c>
      <c r="F35" s="43" t="str">
        <f>IF(A35="","",SUMIFS('3 Nhật ký dừng máy'!$I$6:$I$1005,'3 Nhật ký dừng máy'!$F$6:$F$1005,A35,'3 Nhật ký dừng máy'!$A$6:$A$1005,"&gt;="&amp;$B$4,'3 Nhật ký dừng máy'!$A$6:$A$1005,"&lt;="&amp;$D$4,'3 Nhật ký dừng máy'!$C$6:$C$1005,IF($F$4="Tất cả","*",$F$4)))</f>
        <v/>
      </c>
      <c r="G35" s="53">
        <f>IF(OR(A35="",C35&lt;&gt;"Ngoài kế hoạch",N(F35)&lt;=0),-1,F35+(30-28)/1000)</f>
        <v>-1</v>
      </c>
      <c r="I35" s="42">
        <v>29</v>
      </c>
      <c r="J35" s="42" t="str">
        <f>IF(LARGE($G$7:$G$36,29)&lt;0,"",INDEX($A$7:$A$36,MATCH(LARGE($G$7:$G$36,29),$G$7:$G$36,0)))</f>
        <v/>
      </c>
      <c r="K35" s="33" t="str">
        <f t="shared" si="0"/>
        <v/>
      </c>
      <c r="L35" s="43" t="str">
        <f t="shared" si="1"/>
        <v/>
      </c>
      <c r="M35" s="44" t="str">
        <f t="shared" si="2"/>
        <v/>
      </c>
      <c r="N35" s="44" t="str">
        <f>IF(J35="","",SUM($L$7:L35)/SUM($L$7:$L$36))</f>
        <v/>
      </c>
      <c r="O35" s="33" t="str">
        <f t="shared" si="3"/>
        <v/>
      </c>
    </row>
    <row r="36" spans="1:15" x14ac:dyDescent="0.2">
      <c r="A36" s="42" t="str">
        <f>IF(INDEX(DS_LYDO,30)="","",INDEX(DS_LYDO,30))</f>
        <v/>
      </c>
      <c r="B36" s="33" t="str">
        <f>IF(A36="","",INDEX(LYDO_TEN,30))</f>
        <v/>
      </c>
      <c r="C36" s="42" t="str">
        <f>IF(A36="","",INDEX(LYDO_LOAI,30))</f>
        <v/>
      </c>
      <c r="D36" s="33" t="str">
        <f>IF(A36="","",INDEX(LYDO_BP,30))</f>
        <v/>
      </c>
      <c r="E36" s="42" t="str">
        <f>IF(A36="","",COUNTIFS('3 Nhật ký dừng máy'!$F$6:$F$1005,A36,'3 Nhật ký dừng máy'!$A$6:$A$1005,"&gt;="&amp;$B$4,'3 Nhật ký dừng máy'!$A$6:$A$1005,"&lt;="&amp;$D$4,'3 Nhật ký dừng máy'!$C$6:$C$1005,IF($F$4="Tất cả","*",$F$4)))</f>
        <v/>
      </c>
      <c r="F36" s="43" t="str">
        <f>IF(A36="","",SUMIFS('3 Nhật ký dừng máy'!$I$6:$I$1005,'3 Nhật ký dừng máy'!$F$6:$F$1005,A36,'3 Nhật ký dừng máy'!$A$6:$A$1005,"&gt;="&amp;$B$4,'3 Nhật ký dừng máy'!$A$6:$A$1005,"&lt;="&amp;$D$4,'3 Nhật ký dừng máy'!$C$6:$C$1005,IF($F$4="Tất cả","*",$F$4)))</f>
        <v/>
      </c>
      <c r="G36" s="53">
        <f>IF(OR(A36="",C36&lt;&gt;"Ngoài kế hoạch",N(F36)&lt;=0),-1,F36+(30-29)/1000)</f>
        <v>-1</v>
      </c>
      <c r="I36" s="42">
        <v>30</v>
      </c>
      <c r="J36" s="42" t="str">
        <f>IF(LARGE($G$7:$G$36,30)&lt;0,"",INDEX($A$7:$A$36,MATCH(LARGE($G$7:$G$36,30),$G$7:$G$36,0)))</f>
        <v/>
      </c>
      <c r="K36" s="33" t="str">
        <f t="shared" si="0"/>
        <v/>
      </c>
      <c r="L36" s="43" t="str">
        <f t="shared" si="1"/>
        <v/>
      </c>
      <c r="M36" s="44" t="str">
        <f t="shared" si="2"/>
        <v/>
      </c>
      <c r="N36" s="44" t="str">
        <f>IF(J36="","",SUM($L$7:L36)/SUM($L$7:$L$36))</f>
        <v/>
      </c>
      <c r="O36" s="33" t="str">
        <f t="shared" si="3"/>
        <v/>
      </c>
    </row>
    <row r="39" spans="1:15" x14ac:dyDescent="0.2">
      <c r="A39" s="11" t="s">
        <v>200</v>
      </c>
    </row>
    <row r="40" spans="1:15" x14ac:dyDescent="0.2">
      <c r="A40" s="12" t="s">
        <v>60</v>
      </c>
      <c r="B40" s="12" t="s">
        <v>195</v>
      </c>
      <c r="C40" s="12" t="s">
        <v>201</v>
      </c>
    </row>
    <row r="41" spans="1:15" x14ac:dyDescent="0.2">
      <c r="A41" s="33" t="str">
        <f>IF(INDEX(DS_BP,1)="","",INDEX(DS_BP,1))</f>
        <v>Bảo trì</v>
      </c>
      <c r="B41" s="43">
        <f>IF(A41="","",SUMIFS('3 Nhật ký dừng máy'!$I$6:$I$1005,'3 Nhật ký dừng máy'!$L$6:$L$1005,A41,'3 Nhật ký dừng máy'!$K$6:$K$1005,"Ngoài kế hoạch",'3 Nhật ký dừng máy'!$A$6:$A$1005,"&gt;="&amp;$B$4,'3 Nhật ký dừng máy'!$A$6:$A$1005,"&lt;="&amp;$D$4,'3 Nhật ký dừng máy'!$C$6:$C$1005,IF($F$4="Tất cả","*",$F$4)))</f>
        <v>507</v>
      </c>
      <c r="C41" s="44">
        <f t="shared" ref="C41:C48" si="4">IF(OR(A41="",SUM($B$41:$B$48)=0),"",B41/SUM($B$41:$B$48))</f>
        <v>0.26</v>
      </c>
    </row>
    <row r="42" spans="1:15" x14ac:dyDescent="0.2">
      <c r="A42" s="33" t="str">
        <f>IF(INDEX(DS_BP,2)="","",INDEX(DS_BP,2))</f>
        <v>Kế hoạch – kho</v>
      </c>
      <c r="B42" s="43">
        <f>IF(A42="","",SUMIFS('3 Nhật ký dừng máy'!$I$6:$I$1005,'3 Nhật ký dừng máy'!$L$6:$L$1005,A42,'3 Nhật ký dừng máy'!$K$6:$K$1005,"Ngoài kế hoạch",'3 Nhật ký dừng máy'!$A$6:$A$1005,"&gt;="&amp;$B$4,'3 Nhật ký dừng máy'!$A$6:$A$1005,"&lt;="&amp;$D$4,'3 Nhật ký dừng máy'!$C$6:$C$1005,IF($F$4="Tất cả","*",$F$4)))</f>
        <v>503</v>
      </c>
      <c r="C42" s="44">
        <f t="shared" si="4"/>
        <v>0.25794871794871793</v>
      </c>
    </row>
    <row r="43" spans="1:15" x14ac:dyDescent="0.2">
      <c r="A43" s="33" t="str">
        <f>IF(INDEX(DS_BP,3)="","",INDEX(DS_BP,3))</f>
        <v>Sản xuất</v>
      </c>
      <c r="B43" s="43">
        <f>IF(A43="","",SUMIFS('3 Nhật ký dừng máy'!$I$6:$I$1005,'3 Nhật ký dừng máy'!$L$6:$L$1005,A43,'3 Nhật ký dừng máy'!$K$6:$K$1005,"Ngoài kế hoạch",'3 Nhật ký dừng máy'!$A$6:$A$1005,"&gt;="&amp;$B$4,'3 Nhật ký dừng máy'!$A$6:$A$1005,"&lt;="&amp;$D$4,'3 Nhật ký dừng máy'!$C$6:$C$1005,IF($F$4="Tất cả","*",$F$4)))</f>
        <v>775</v>
      </c>
      <c r="C43" s="44">
        <f t="shared" si="4"/>
        <v>0.39743589743589741</v>
      </c>
    </row>
    <row r="44" spans="1:15" x14ac:dyDescent="0.2">
      <c r="A44" s="33" t="str">
        <f>IF(INDEX(DS_BP,4)="","",INDEX(DS_BP,4))</f>
        <v>QC</v>
      </c>
      <c r="B44" s="43">
        <f>IF(A44="","",SUMIFS('3 Nhật ký dừng máy'!$I$6:$I$1005,'3 Nhật ký dừng máy'!$L$6:$L$1005,A44,'3 Nhật ký dừng máy'!$K$6:$K$1005,"Ngoài kế hoạch",'3 Nhật ký dừng máy'!$A$6:$A$1005,"&gt;="&amp;$B$4,'3 Nhật ký dừng máy'!$A$6:$A$1005,"&lt;="&amp;$D$4,'3 Nhật ký dừng máy'!$C$6:$C$1005,IF($F$4="Tất cả","*",$F$4)))</f>
        <v>165</v>
      </c>
      <c r="C44" s="44">
        <f t="shared" si="4"/>
        <v>8.461538461538462E-2</v>
      </c>
    </row>
    <row r="45" spans="1:15" x14ac:dyDescent="0.2">
      <c r="A45" s="33" t="str">
        <f>IF(INDEX(DS_BP,5)="","",INDEX(DS_BP,5))</f>
        <v/>
      </c>
      <c r="B45" s="43" t="str">
        <f>IF(A45="","",SUMIFS('3 Nhật ký dừng máy'!$I$6:$I$1005,'3 Nhật ký dừng máy'!$L$6:$L$1005,A45,'3 Nhật ký dừng máy'!$K$6:$K$1005,"Ngoài kế hoạch",'3 Nhật ký dừng máy'!$A$6:$A$1005,"&gt;="&amp;$B$4,'3 Nhật ký dừng máy'!$A$6:$A$1005,"&lt;="&amp;$D$4,'3 Nhật ký dừng máy'!$C$6:$C$1005,IF($F$4="Tất cả","*",$F$4)))</f>
        <v/>
      </c>
      <c r="C45" s="44" t="str">
        <f t="shared" si="4"/>
        <v/>
      </c>
    </row>
    <row r="46" spans="1:15" x14ac:dyDescent="0.2">
      <c r="A46" s="33" t="str">
        <f>IF(INDEX(DS_BP,6)="","",INDEX(DS_BP,6))</f>
        <v/>
      </c>
      <c r="B46" s="43" t="str">
        <f>IF(A46="","",SUMIFS('3 Nhật ký dừng máy'!$I$6:$I$1005,'3 Nhật ký dừng máy'!$L$6:$L$1005,A46,'3 Nhật ký dừng máy'!$K$6:$K$1005,"Ngoài kế hoạch",'3 Nhật ký dừng máy'!$A$6:$A$1005,"&gt;="&amp;$B$4,'3 Nhật ký dừng máy'!$A$6:$A$1005,"&lt;="&amp;$D$4,'3 Nhật ký dừng máy'!$C$6:$C$1005,IF($F$4="Tất cả","*",$F$4)))</f>
        <v/>
      </c>
      <c r="C46" s="44" t="str">
        <f t="shared" si="4"/>
        <v/>
      </c>
    </row>
    <row r="47" spans="1:15" x14ac:dyDescent="0.2">
      <c r="A47" s="33" t="str">
        <f>IF(INDEX(DS_BP,7)="","",INDEX(DS_BP,7))</f>
        <v/>
      </c>
      <c r="B47" s="43" t="str">
        <f>IF(A47="","",SUMIFS('3 Nhật ký dừng máy'!$I$6:$I$1005,'3 Nhật ký dừng máy'!$L$6:$L$1005,A47,'3 Nhật ký dừng máy'!$K$6:$K$1005,"Ngoài kế hoạch",'3 Nhật ký dừng máy'!$A$6:$A$1005,"&gt;="&amp;$B$4,'3 Nhật ký dừng máy'!$A$6:$A$1005,"&lt;="&amp;$D$4,'3 Nhật ký dừng máy'!$C$6:$C$1005,IF($F$4="Tất cả","*",$F$4)))</f>
        <v/>
      </c>
      <c r="C47" s="44" t="str">
        <f t="shared" si="4"/>
        <v/>
      </c>
    </row>
    <row r="48" spans="1:15" x14ac:dyDescent="0.2">
      <c r="A48" s="33" t="str">
        <f>IF(INDEX(DS_BP,8)="","",INDEX(DS_BP,8))</f>
        <v/>
      </c>
      <c r="B48" s="43" t="str">
        <f>IF(A48="","",SUMIFS('3 Nhật ký dừng máy'!$I$6:$I$1005,'3 Nhật ký dừng máy'!$L$6:$L$1005,A48,'3 Nhật ký dừng máy'!$K$6:$K$1005,"Ngoài kế hoạch",'3 Nhật ký dừng máy'!$A$6:$A$1005,"&gt;="&amp;$B$4,'3 Nhật ký dừng máy'!$A$6:$A$1005,"&lt;="&amp;$D$4,'3 Nhật ký dừng máy'!$C$6:$C$1005,IF($F$4="Tất cả","*",$F$4)))</f>
        <v/>
      </c>
      <c r="C48" s="44" t="str">
        <f t="shared" si="4"/>
        <v/>
      </c>
    </row>
  </sheetData>
  <dataValidations count="1">
    <dataValidation type="list" showErrorMessage="1" sqref="F4" xr:uid="{00000000-0002-0000-0600-000000000000}">
      <formula1>$Q$6:$Q$26</formula1>
    </dataValidation>
  </dataValidations>
  <hyperlinks>
    <hyperlink ref="A3" location="'Bắt đầu'!A1" display="← Về trang Bắt đầu" xr:uid="{00000000-0004-0000-0600-000000000000}"/>
  </hyperlinks>
  <pageMargins left="0.75" right="0.75" top="1" bottom="1" header="0.5" footer="0.5"/>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heetViews>
  <sheetFormatPr baseColWidth="10" defaultColWidth="8.83203125" defaultRowHeight="15" x14ac:dyDescent="0.2"/>
  <cols>
    <col min="1" max="1" width="13" customWidth="1"/>
    <col min="2" max="2" width="11" customWidth="1"/>
    <col min="3" max="4" width="10" customWidth="1"/>
    <col min="5" max="5" width="9" customWidth="1"/>
    <col min="6" max="7" width="10" customWidth="1"/>
    <col min="8" max="8" width="8" customWidth="1"/>
    <col min="9" max="10" width="11" customWidth="1"/>
    <col min="11" max="11" width="8" customWidth="1"/>
    <col min="12" max="12" width="11" customWidth="1"/>
    <col min="13" max="13" width="12" customWidth="1"/>
    <col min="14" max="14" width="8" customWidth="1"/>
  </cols>
  <sheetData>
    <row r="1" spans="1:14" ht="18" x14ac:dyDescent="0.2">
      <c r="A1" s="9" t="s">
        <v>202</v>
      </c>
    </row>
    <row r="2" spans="1:14" x14ac:dyDescent="0.2">
      <c r="A2" s="2" t="s">
        <v>203</v>
      </c>
    </row>
    <row r="3" spans="1:14" x14ac:dyDescent="0.2">
      <c r="A3" s="10" t="s">
        <v>37</v>
      </c>
    </row>
    <row r="4" spans="1:14" x14ac:dyDescent="0.2">
      <c r="A4" s="22" t="s">
        <v>189</v>
      </c>
      <c r="B4" s="39">
        <v>46286</v>
      </c>
      <c r="C4" s="40" t="s">
        <v>190</v>
      </c>
      <c r="D4" s="39">
        <v>46290</v>
      </c>
    </row>
    <row r="5" spans="1:14" ht="56" customHeight="1" x14ac:dyDescent="0.2">
      <c r="A5" s="12" t="s">
        <v>44</v>
      </c>
      <c r="B5" s="12" t="s">
        <v>204</v>
      </c>
      <c r="C5" s="12" t="s">
        <v>130</v>
      </c>
      <c r="D5" s="12" t="s">
        <v>181</v>
      </c>
      <c r="E5" s="12" t="s">
        <v>132</v>
      </c>
      <c r="F5" s="12" t="s">
        <v>135</v>
      </c>
      <c r="G5" s="12" t="s">
        <v>136</v>
      </c>
      <c r="H5" s="12" t="s">
        <v>137</v>
      </c>
      <c r="I5" s="12" t="s">
        <v>139</v>
      </c>
      <c r="J5" s="12" t="s">
        <v>140</v>
      </c>
      <c r="K5" s="12" t="s">
        <v>141</v>
      </c>
      <c r="L5" s="12" t="s">
        <v>143</v>
      </c>
      <c r="M5" s="12" t="s">
        <v>145</v>
      </c>
      <c r="N5" s="12" t="s">
        <v>205</v>
      </c>
    </row>
    <row r="6" spans="1:14" x14ac:dyDescent="0.2">
      <c r="A6" s="33" t="str">
        <f>IF(INDEX(DS_MAY,1)="","",INDEX(DS_MAY,1))</f>
        <v>Máy tiện 1</v>
      </c>
      <c r="B6" s="42">
        <f>IF($A6="","",COUNTIFS('2 Sản lượng theo ca'!$A$6:$A$505,"&gt;="&amp;$B$4,'2 Sản lượng theo ca'!$A$6:$A$505,"&lt;="&amp;$D$4,'2 Sản lượng theo ca'!$C$6:$C$505,$A6))</f>
        <v>10</v>
      </c>
      <c r="C6" s="43">
        <f>IF($A6="","",SUMIFS('2 Sản lượng theo ca'!$G$6:$G$505,'2 Sản lượng theo ca'!$A$6:$A$505,"&gt;="&amp;$B$4,'2 Sản lượng theo ca'!$A$6:$A$505,"&lt;="&amp;$D$4,'2 Sản lượng theo ca'!$C$6:$C$505,$A6))</f>
        <v>3800</v>
      </c>
      <c r="D6" s="43">
        <f>IF($A6="","",SUMIFS('2 Sản lượng theo ca'!$H$6:$H$505,'2 Sản lượng theo ca'!$A$6:$A$505,"&gt;="&amp;$B$4,'2 Sản lượng theo ca'!$A$6:$A$505,"&lt;="&amp;$D$4,'2 Sản lượng theo ca'!$C$6:$C$505,$A6))</f>
        <v>3336</v>
      </c>
      <c r="E6" s="43">
        <f>IF($A6="","",SUMIFS('2 Sản lượng theo ca'!$I$6:$I$505,'2 Sản lượng theo ca'!$A$6:$A$505,"&gt;="&amp;$B$4,'2 Sản lượng theo ca'!$A$6:$A$505,"&lt;="&amp;$D$4,'2 Sản lượng theo ca'!$C$6:$C$505,$A6))</f>
        <v>69</v>
      </c>
      <c r="F6" s="43">
        <f>IF($A6="","",SUMIFS('2 Sản lượng theo ca'!$L$6:$L$505,'2 Sản lượng theo ca'!$A$6:$A$505,"&gt;="&amp;$B$4,'2 Sản lượng theo ca'!$A$6:$A$505,"&lt;="&amp;$D$4,'2 Sản lượng theo ca'!$C$6:$C$505,$A6))</f>
        <v>3267</v>
      </c>
      <c r="G6" s="44">
        <f t="shared" ref="G6:G25" si="0">IF($A6="","",IF(N(C6)&lt;=0,"",F6/C6))</f>
        <v>0.85973684210526313</v>
      </c>
      <c r="H6" s="44">
        <f t="shared" ref="H6:H25" si="1">IF($A6="","",IF(N(D6)&lt;=0,"",E6/D6))</f>
        <v>2.0683453237410072E-2</v>
      </c>
      <c r="I6" s="43">
        <f>IF($A6="","",SUMIFS('2 Sản lượng theo ca'!$P$6:$P$505,'2 Sản lượng theo ca'!$A$6:$A$505,"&gt;="&amp;$B$4,'2 Sản lượng theo ca'!$A$6:$A$505,"&lt;="&amp;$D$4,'2 Sản lượng theo ca'!$C$6:$C$505,$A6))</f>
        <v>4200</v>
      </c>
      <c r="J6" s="43">
        <f>IF($A6="","",SUMIFS('2 Sản lượng theo ca'!$Q$6:$Q$505,'2 Sản lượng theo ca'!$A$6:$A$505,"&gt;="&amp;$B$4,'2 Sản lượng theo ca'!$A$6:$A$505,"&lt;="&amp;$D$4,'2 Sản lượng theo ca'!$C$6:$C$505,$A6))</f>
        <v>503</v>
      </c>
      <c r="K6" s="42">
        <f>IF($A6="","",SUMIFS('2 Sản lượng theo ca'!$R$6:$R$505,'2 Sản lượng theo ca'!$A$6:$A$505,"&gt;="&amp;$B$4,'2 Sản lượng theo ca'!$A$6:$A$505,"&lt;="&amp;$D$4,'2 Sản lượng theo ca'!$C$6:$C$505,$A6))</f>
        <v>17</v>
      </c>
      <c r="L6" s="45">
        <f>IF($A6="","",SUMIFS('2 Sản lượng theo ca'!$T$6:$T$505,'2 Sản lượng theo ca'!$A$6:$A$505,"&gt;="&amp;$B$4,'2 Sản lượng theo ca'!$A$6:$A$505,"&lt;="&amp;$D$4,'2 Sản lượng theo ca'!$C$6:$C$505,$A6))</f>
        <v>361</v>
      </c>
      <c r="M6" s="54">
        <f>IF($A6="","",IF(N(I6)&lt;=0,"",SUMIFS('2 Sản lượng theo ca'!$U$6:$U$505,'2 Sản lượng theo ca'!$A$6:$A$505,"&gt;="&amp;$B$4,'2 Sản lượng theo ca'!$A$6:$A$505,"&lt;="&amp;$D$4,'2 Sản lượng theo ca'!$C$6:$C$505,$A6)/I6))</f>
        <v>0.7778571428571428</v>
      </c>
      <c r="N6" s="42">
        <f>IF($A6="","",COUNTIFS('2 Sản lượng theo ca'!$A$6:$A$505,"&gt;="&amp;$B$4,'2 Sản lượng theo ca'!$A$6:$A$505,"&lt;="&amp;$D$4,'2 Sản lượng theo ca'!$C$6:$C$505,$A6,'2 Sản lượng theo ca'!$X$6:$X$505,"?*"))</f>
        <v>1</v>
      </c>
    </row>
    <row r="7" spans="1:14" x14ac:dyDescent="0.2">
      <c r="A7" s="33" t="str">
        <f>IF(INDEX(DS_MAY,2)="","",INDEX(DS_MAY,2))</f>
        <v>Máy tiện 2</v>
      </c>
      <c r="B7" s="42">
        <f>IF($A7="","",COUNTIFS('2 Sản lượng theo ca'!$A$6:$A$505,"&gt;="&amp;$B$4,'2 Sản lượng theo ca'!$A$6:$A$505,"&lt;="&amp;$D$4,'2 Sản lượng theo ca'!$C$6:$C$505,$A7))</f>
        <v>10</v>
      </c>
      <c r="C7" s="43">
        <f>IF($A7="","",SUMIFS('2 Sản lượng theo ca'!$G$6:$G$505,'2 Sản lượng theo ca'!$A$6:$A$505,"&gt;="&amp;$B$4,'2 Sản lượng theo ca'!$A$6:$A$505,"&lt;="&amp;$D$4,'2 Sản lượng theo ca'!$C$6:$C$505,$A7))</f>
        <v>4860</v>
      </c>
      <c r="D7" s="43">
        <f>IF($A7="","",SUMIFS('2 Sản lượng theo ca'!$H$6:$H$505,'2 Sản lượng theo ca'!$A$6:$A$505,"&gt;="&amp;$B$4,'2 Sản lượng theo ca'!$A$6:$A$505,"&lt;="&amp;$D$4,'2 Sản lượng theo ca'!$C$6:$C$505,$A7))</f>
        <v>4335</v>
      </c>
      <c r="E7" s="43">
        <f>IF($A7="","",SUMIFS('2 Sản lượng theo ca'!$I$6:$I$505,'2 Sản lượng theo ca'!$A$6:$A$505,"&gt;="&amp;$B$4,'2 Sản lượng theo ca'!$A$6:$A$505,"&lt;="&amp;$D$4,'2 Sản lượng theo ca'!$C$6:$C$505,$A7))</f>
        <v>78</v>
      </c>
      <c r="F7" s="43">
        <f>IF($A7="","",SUMIFS('2 Sản lượng theo ca'!$L$6:$L$505,'2 Sản lượng theo ca'!$A$6:$A$505,"&gt;="&amp;$B$4,'2 Sản lượng theo ca'!$A$6:$A$505,"&lt;="&amp;$D$4,'2 Sản lượng theo ca'!$C$6:$C$505,$A7))</f>
        <v>4257</v>
      </c>
      <c r="G7" s="44">
        <f t="shared" si="0"/>
        <v>0.87592592592592589</v>
      </c>
      <c r="H7" s="44">
        <f t="shared" si="1"/>
        <v>1.7993079584775088E-2</v>
      </c>
      <c r="I7" s="43">
        <f>IF($A7="","",SUMIFS('2 Sản lượng theo ca'!$P$6:$P$505,'2 Sản lượng theo ca'!$A$6:$A$505,"&gt;="&amp;$B$4,'2 Sản lượng theo ca'!$A$6:$A$505,"&lt;="&amp;$D$4,'2 Sản lượng theo ca'!$C$6:$C$505,$A7))</f>
        <v>4080</v>
      </c>
      <c r="J7" s="43">
        <f>IF($A7="","",SUMIFS('2 Sản lượng theo ca'!$Q$6:$Q$505,'2 Sản lượng theo ca'!$A$6:$A$505,"&gt;="&amp;$B$4,'2 Sản lượng theo ca'!$A$6:$A$505,"&lt;="&amp;$D$4,'2 Sản lượng theo ca'!$C$6:$C$505,$A7))</f>
        <v>498</v>
      </c>
      <c r="K7" s="42">
        <f>IF($A7="","",SUMIFS('2 Sản lượng theo ca'!$R$6:$R$505,'2 Sản lượng theo ca'!$A$6:$A$505,"&gt;="&amp;$B$4,'2 Sản lượng theo ca'!$A$6:$A$505,"&lt;="&amp;$D$4,'2 Sản lượng theo ca'!$C$6:$C$505,$A7))</f>
        <v>15</v>
      </c>
      <c r="L7" s="45">
        <f>IF($A7="","",SUMIFS('2 Sản lượng theo ca'!$T$6:$T$505,'2 Sản lượng theo ca'!$A$6:$A$505,"&gt;="&amp;$B$4,'2 Sản lượng theo ca'!$A$6:$A$505,"&lt;="&amp;$D$4,'2 Sản lượng theo ca'!$C$6:$C$505,$A7))</f>
        <v>330.75</v>
      </c>
      <c r="M7" s="54">
        <f>IF($A7="","",IF(N(I7)&lt;=0,"",SUMIFS('2 Sản lượng theo ca'!$U$6:$U$505,'2 Sản lượng theo ca'!$A$6:$A$505,"&gt;="&amp;$B$4,'2 Sản lượng theo ca'!$A$6:$A$505,"&lt;="&amp;$D$4,'2 Sản lượng theo ca'!$C$6:$C$505,$A7)/I7))</f>
        <v>0.7825367647058824</v>
      </c>
      <c r="N7" s="42">
        <f>IF($A7="","",COUNTIFS('2 Sản lượng theo ca'!$A$6:$A$505,"&gt;="&amp;$B$4,'2 Sản lượng theo ca'!$A$6:$A$505,"&lt;="&amp;$D$4,'2 Sản lượng theo ca'!$C$6:$C$505,$A7,'2 Sản lượng theo ca'!$X$6:$X$505,"?*"))</f>
        <v>1</v>
      </c>
    </row>
    <row r="8" spans="1:14" x14ac:dyDescent="0.2">
      <c r="A8" s="33" t="str">
        <f>IF(INDEX(DS_MAY,3)="","",INDEX(DS_MAY,3))</f>
        <v>Máy phay 1</v>
      </c>
      <c r="B8" s="42">
        <f>IF($A8="","",COUNTIFS('2 Sản lượng theo ca'!$A$6:$A$505,"&gt;="&amp;$B$4,'2 Sản lượng theo ca'!$A$6:$A$505,"&lt;="&amp;$D$4,'2 Sản lượng theo ca'!$C$6:$C$505,$A8))</f>
        <v>10</v>
      </c>
      <c r="C8" s="43">
        <f>IF($A8="","",SUMIFS('2 Sản lượng theo ca'!$G$6:$G$505,'2 Sản lượng theo ca'!$A$6:$A$505,"&gt;="&amp;$B$4,'2 Sản lượng theo ca'!$A$6:$A$505,"&lt;="&amp;$D$4,'2 Sản lượng theo ca'!$C$6:$C$505,$A8))</f>
        <v>2460</v>
      </c>
      <c r="D8" s="43">
        <f>IF($A8="","",SUMIFS('2 Sản lượng theo ca'!$H$6:$H$505,'2 Sản lượng theo ca'!$A$6:$A$505,"&gt;="&amp;$B$4,'2 Sản lượng theo ca'!$A$6:$A$505,"&lt;="&amp;$D$4,'2 Sản lượng theo ca'!$C$6:$C$505,$A8))</f>
        <v>2055</v>
      </c>
      <c r="E8" s="43">
        <f>IF($A8="","",SUMIFS('2 Sản lượng theo ca'!$I$6:$I$505,'2 Sản lượng theo ca'!$A$6:$A$505,"&gt;="&amp;$B$4,'2 Sản lượng theo ca'!$A$6:$A$505,"&lt;="&amp;$D$4,'2 Sản lượng theo ca'!$C$6:$C$505,$A8))</f>
        <v>37</v>
      </c>
      <c r="F8" s="43">
        <f>IF($A8="","",SUMIFS('2 Sản lượng theo ca'!$L$6:$L$505,'2 Sản lượng theo ca'!$A$6:$A$505,"&gt;="&amp;$B$4,'2 Sản lượng theo ca'!$A$6:$A$505,"&lt;="&amp;$D$4,'2 Sản lượng theo ca'!$C$6:$C$505,$A8))</f>
        <v>2018</v>
      </c>
      <c r="G8" s="44">
        <f t="shared" si="0"/>
        <v>0.82032520325203251</v>
      </c>
      <c r="H8" s="44">
        <f t="shared" si="1"/>
        <v>1.8004866180048661E-2</v>
      </c>
      <c r="I8" s="43">
        <f>IF($A8="","",SUMIFS('2 Sản lượng theo ca'!$P$6:$P$505,'2 Sản lượng theo ca'!$A$6:$A$505,"&gt;="&amp;$B$4,'2 Sản lượng theo ca'!$A$6:$A$505,"&lt;="&amp;$D$4,'2 Sản lượng theo ca'!$C$6:$C$505,$A8))</f>
        <v>4140</v>
      </c>
      <c r="J8" s="43">
        <f>IF($A8="","",SUMIFS('2 Sản lượng theo ca'!$Q$6:$Q$505,'2 Sản lượng theo ca'!$A$6:$A$505,"&gt;="&amp;$B$4,'2 Sản lượng theo ca'!$A$6:$A$505,"&lt;="&amp;$D$4,'2 Sản lượng theo ca'!$C$6:$C$505,$A8))</f>
        <v>532</v>
      </c>
      <c r="K8" s="42">
        <f>IF($A8="","",SUMIFS('2 Sản lượng theo ca'!$R$6:$R$505,'2 Sản lượng theo ca'!$A$6:$A$505,"&gt;="&amp;$B$4,'2 Sản lượng theo ca'!$A$6:$A$505,"&lt;="&amp;$D$4,'2 Sản lượng theo ca'!$C$6:$C$505,$A8))</f>
        <v>16</v>
      </c>
      <c r="L8" s="45">
        <f>IF($A8="","",SUMIFS('2 Sản lượng theo ca'!$T$6:$T$505,'2 Sản lượng theo ca'!$A$6:$A$505,"&gt;="&amp;$B$4,'2 Sản lượng theo ca'!$A$6:$A$505,"&lt;="&amp;$D$4,'2 Sản lượng theo ca'!$C$6:$C$505,$A8))</f>
        <v>525.5</v>
      </c>
      <c r="M8" s="54">
        <f>IF($A8="","",IF(N(I8)&lt;=0,"",SUMIFS('2 Sản lượng theo ca'!$U$6:$U$505,'2 Sản lượng theo ca'!$A$6:$A$505,"&gt;="&amp;$B$4,'2 Sản lượng theo ca'!$A$6:$A$505,"&lt;="&amp;$D$4,'2 Sản lượng theo ca'!$C$6:$C$505,$A8)/I8))</f>
        <v>0.73115942028985503</v>
      </c>
      <c r="N8" s="42">
        <f>IF($A8="","",COUNTIFS('2 Sản lượng theo ca'!$A$6:$A$505,"&gt;="&amp;$B$4,'2 Sản lượng theo ca'!$A$6:$A$505,"&lt;="&amp;$D$4,'2 Sản lượng theo ca'!$C$6:$C$505,$A8,'2 Sản lượng theo ca'!$X$6:$X$505,"?*"))</f>
        <v>0</v>
      </c>
    </row>
    <row r="9" spans="1:14" x14ac:dyDescent="0.2">
      <c r="A9" s="33" t="str">
        <f>IF(INDEX(DS_MAY,4)="","",INDEX(DS_MAY,4))</f>
        <v>Máy dập 1</v>
      </c>
      <c r="B9" s="42">
        <f>IF($A9="","",COUNTIFS('2 Sản lượng theo ca'!$A$6:$A$505,"&gt;="&amp;$B$4,'2 Sản lượng theo ca'!$A$6:$A$505,"&lt;="&amp;$D$4,'2 Sản lượng theo ca'!$C$6:$C$505,$A9))</f>
        <v>10</v>
      </c>
      <c r="C9" s="43">
        <f>IF($A9="","",SUMIFS('2 Sản lượng theo ca'!$G$6:$G$505,'2 Sản lượng theo ca'!$A$6:$A$505,"&gt;="&amp;$B$4,'2 Sản lượng theo ca'!$A$6:$A$505,"&lt;="&amp;$D$4,'2 Sản lượng theo ca'!$C$6:$C$505,$A9))</f>
        <v>16600</v>
      </c>
      <c r="D9" s="43">
        <f>IF($A9="","",SUMIFS('2 Sản lượng theo ca'!$H$6:$H$505,'2 Sản lượng theo ca'!$A$6:$A$505,"&gt;="&amp;$B$4,'2 Sản lượng theo ca'!$A$6:$A$505,"&lt;="&amp;$D$4,'2 Sản lượng theo ca'!$C$6:$C$505,$A9))</f>
        <v>16405</v>
      </c>
      <c r="E9" s="43">
        <f>IF($A9="","",SUMIFS('2 Sản lượng theo ca'!$I$6:$I$505,'2 Sản lượng theo ca'!$A$6:$A$505,"&gt;="&amp;$B$4,'2 Sản lượng theo ca'!$A$6:$A$505,"&lt;="&amp;$D$4,'2 Sản lượng theo ca'!$C$6:$C$505,$A9))</f>
        <v>191</v>
      </c>
      <c r="F9" s="43">
        <f>IF($A9="","",SUMIFS('2 Sản lượng theo ca'!$L$6:$L$505,'2 Sản lượng theo ca'!$A$6:$A$505,"&gt;="&amp;$B$4,'2 Sản lượng theo ca'!$A$6:$A$505,"&lt;="&amp;$D$4,'2 Sản lượng theo ca'!$C$6:$C$505,$A9))</f>
        <v>16214</v>
      </c>
      <c r="G9" s="44">
        <f t="shared" si="0"/>
        <v>0.97674698795180726</v>
      </c>
      <c r="H9" s="44">
        <f t="shared" si="1"/>
        <v>1.1642791831758609E-2</v>
      </c>
      <c r="I9" s="43">
        <f>IF($A9="","",SUMIFS('2 Sản lượng theo ca'!$P$6:$P$505,'2 Sản lượng theo ca'!$A$6:$A$505,"&gt;="&amp;$B$4,'2 Sản lượng theo ca'!$A$6:$A$505,"&lt;="&amp;$D$4,'2 Sản lượng theo ca'!$C$6:$C$505,$A9))</f>
        <v>4200</v>
      </c>
      <c r="J9" s="43">
        <f>IF($A9="","",SUMIFS('2 Sản lượng theo ca'!$Q$6:$Q$505,'2 Sản lượng theo ca'!$A$6:$A$505,"&gt;="&amp;$B$4,'2 Sản lượng theo ca'!$A$6:$A$505,"&lt;="&amp;$D$4,'2 Sản lượng theo ca'!$C$6:$C$505,$A9))</f>
        <v>417</v>
      </c>
      <c r="K9" s="42">
        <f>IF($A9="","",SUMIFS('2 Sản lượng theo ca'!$R$6:$R$505,'2 Sản lượng theo ca'!$A$6:$A$505,"&gt;="&amp;$B$4,'2 Sản lượng theo ca'!$A$6:$A$505,"&lt;="&amp;$D$4,'2 Sản lượng theo ca'!$C$6:$C$505,$A9))</f>
        <v>15</v>
      </c>
      <c r="L9" s="45">
        <f>IF($A9="","",SUMIFS('2 Sản lượng theo ca'!$T$6:$T$505,'2 Sản lượng theo ca'!$A$6:$A$505,"&gt;="&amp;$B$4,'2 Sản lượng theo ca'!$A$6:$A$505,"&lt;="&amp;$D$4,'2 Sản lượng theo ca'!$C$6:$C$505,$A9))</f>
        <v>111.84999999999997</v>
      </c>
      <c r="M9" s="54">
        <f>IF($A9="","",IF(N(I9)&lt;=0,"",SUMIFS('2 Sản lượng theo ca'!$U$6:$U$505,'2 Sản lượng theo ca'!$A$6:$A$505,"&gt;="&amp;$B$4,'2 Sản lượng theo ca'!$A$6:$A$505,"&lt;="&amp;$D$4,'2 Sản lượng theo ca'!$C$6:$C$505,$A9)/I9))</f>
        <v>0.86383333333333334</v>
      </c>
      <c r="N9" s="42">
        <f>IF($A9="","",COUNTIFS('2 Sản lượng theo ca'!$A$6:$A$505,"&gt;="&amp;$B$4,'2 Sản lượng theo ca'!$A$6:$A$505,"&lt;="&amp;$D$4,'2 Sản lượng theo ca'!$C$6:$C$505,$A9,'2 Sản lượng theo ca'!$X$6:$X$505,"?*"))</f>
        <v>4</v>
      </c>
    </row>
    <row r="10" spans="1:14" x14ac:dyDescent="0.2">
      <c r="A10" s="33" t="str">
        <f>IF(INDEX(DS_MAY,5)="","",INDEX(DS_MAY,5))</f>
        <v/>
      </c>
      <c r="B10" s="42" t="str">
        <f>IF($A10="","",COUNTIFS('2 Sản lượng theo ca'!$A$6:$A$505,"&gt;="&amp;$B$4,'2 Sản lượng theo ca'!$A$6:$A$505,"&lt;="&amp;$D$4,'2 Sản lượng theo ca'!$C$6:$C$505,$A10))</f>
        <v/>
      </c>
      <c r="C10" s="43" t="str">
        <f>IF($A10="","",SUMIFS('2 Sản lượng theo ca'!$G$6:$G$505,'2 Sản lượng theo ca'!$A$6:$A$505,"&gt;="&amp;$B$4,'2 Sản lượng theo ca'!$A$6:$A$505,"&lt;="&amp;$D$4,'2 Sản lượng theo ca'!$C$6:$C$505,$A10))</f>
        <v/>
      </c>
      <c r="D10" s="43" t="str">
        <f>IF($A10="","",SUMIFS('2 Sản lượng theo ca'!$H$6:$H$505,'2 Sản lượng theo ca'!$A$6:$A$505,"&gt;="&amp;$B$4,'2 Sản lượng theo ca'!$A$6:$A$505,"&lt;="&amp;$D$4,'2 Sản lượng theo ca'!$C$6:$C$505,$A10))</f>
        <v/>
      </c>
      <c r="E10" s="43" t="str">
        <f>IF($A10="","",SUMIFS('2 Sản lượng theo ca'!$I$6:$I$505,'2 Sản lượng theo ca'!$A$6:$A$505,"&gt;="&amp;$B$4,'2 Sản lượng theo ca'!$A$6:$A$505,"&lt;="&amp;$D$4,'2 Sản lượng theo ca'!$C$6:$C$505,$A10))</f>
        <v/>
      </c>
      <c r="F10" s="43" t="str">
        <f>IF($A10="","",SUMIFS('2 Sản lượng theo ca'!$L$6:$L$505,'2 Sản lượng theo ca'!$A$6:$A$505,"&gt;="&amp;$B$4,'2 Sản lượng theo ca'!$A$6:$A$505,"&lt;="&amp;$D$4,'2 Sản lượng theo ca'!$C$6:$C$505,$A10))</f>
        <v/>
      </c>
      <c r="G10" s="44" t="str">
        <f t="shared" si="0"/>
        <v/>
      </c>
      <c r="H10" s="44" t="str">
        <f t="shared" si="1"/>
        <v/>
      </c>
      <c r="I10" s="43" t="str">
        <f>IF($A10="","",SUMIFS('2 Sản lượng theo ca'!$P$6:$P$505,'2 Sản lượng theo ca'!$A$6:$A$505,"&gt;="&amp;$B$4,'2 Sản lượng theo ca'!$A$6:$A$505,"&lt;="&amp;$D$4,'2 Sản lượng theo ca'!$C$6:$C$505,$A10))</f>
        <v/>
      </c>
      <c r="J10" s="43" t="str">
        <f>IF($A10="","",SUMIFS('2 Sản lượng theo ca'!$Q$6:$Q$505,'2 Sản lượng theo ca'!$A$6:$A$505,"&gt;="&amp;$B$4,'2 Sản lượng theo ca'!$A$6:$A$505,"&lt;="&amp;$D$4,'2 Sản lượng theo ca'!$C$6:$C$505,$A10))</f>
        <v/>
      </c>
      <c r="K10" s="42" t="str">
        <f>IF($A10="","",SUMIFS('2 Sản lượng theo ca'!$R$6:$R$505,'2 Sản lượng theo ca'!$A$6:$A$505,"&gt;="&amp;$B$4,'2 Sản lượng theo ca'!$A$6:$A$505,"&lt;="&amp;$D$4,'2 Sản lượng theo ca'!$C$6:$C$505,$A10))</f>
        <v/>
      </c>
      <c r="L10" s="45" t="str">
        <f>IF($A10="","",SUMIFS('2 Sản lượng theo ca'!$T$6:$T$505,'2 Sản lượng theo ca'!$A$6:$A$505,"&gt;="&amp;$B$4,'2 Sản lượng theo ca'!$A$6:$A$505,"&lt;="&amp;$D$4,'2 Sản lượng theo ca'!$C$6:$C$505,$A10))</f>
        <v/>
      </c>
      <c r="M10" s="54" t="str">
        <f>IF($A10="","",IF(N(I10)&lt;=0,"",SUMIFS('2 Sản lượng theo ca'!$U$6:$U$505,'2 Sản lượng theo ca'!$A$6:$A$505,"&gt;="&amp;$B$4,'2 Sản lượng theo ca'!$A$6:$A$505,"&lt;="&amp;$D$4,'2 Sản lượng theo ca'!$C$6:$C$505,$A10)/I10))</f>
        <v/>
      </c>
      <c r="N10" s="42" t="str">
        <f>IF($A10="","",COUNTIFS('2 Sản lượng theo ca'!$A$6:$A$505,"&gt;="&amp;$B$4,'2 Sản lượng theo ca'!$A$6:$A$505,"&lt;="&amp;$D$4,'2 Sản lượng theo ca'!$C$6:$C$505,$A10,'2 Sản lượng theo ca'!$X$6:$X$505,"?*"))</f>
        <v/>
      </c>
    </row>
    <row r="11" spans="1:14" x14ac:dyDescent="0.2">
      <c r="A11" s="33" t="str">
        <f>IF(INDEX(DS_MAY,6)="","",INDEX(DS_MAY,6))</f>
        <v/>
      </c>
      <c r="B11" s="42" t="str">
        <f>IF($A11="","",COUNTIFS('2 Sản lượng theo ca'!$A$6:$A$505,"&gt;="&amp;$B$4,'2 Sản lượng theo ca'!$A$6:$A$505,"&lt;="&amp;$D$4,'2 Sản lượng theo ca'!$C$6:$C$505,$A11))</f>
        <v/>
      </c>
      <c r="C11" s="43" t="str">
        <f>IF($A11="","",SUMIFS('2 Sản lượng theo ca'!$G$6:$G$505,'2 Sản lượng theo ca'!$A$6:$A$505,"&gt;="&amp;$B$4,'2 Sản lượng theo ca'!$A$6:$A$505,"&lt;="&amp;$D$4,'2 Sản lượng theo ca'!$C$6:$C$505,$A11))</f>
        <v/>
      </c>
      <c r="D11" s="43" t="str">
        <f>IF($A11="","",SUMIFS('2 Sản lượng theo ca'!$H$6:$H$505,'2 Sản lượng theo ca'!$A$6:$A$505,"&gt;="&amp;$B$4,'2 Sản lượng theo ca'!$A$6:$A$505,"&lt;="&amp;$D$4,'2 Sản lượng theo ca'!$C$6:$C$505,$A11))</f>
        <v/>
      </c>
      <c r="E11" s="43" t="str">
        <f>IF($A11="","",SUMIFS('2 Sản lượng theo ca'!$I$6:$I$505,'2 Sản lượng theo ca'!$A$6:$A$505,"&gt;="&amp;$B$4,'2 Sản lượng theo ca'!$A$6:$A$505,"&lt;="&amp;$D$4,'2 Sản lượng theo ca'!$C$6:$C$505,$A11))</f>
        <v/>
      </c>
      <c r="F11" s="43" t="str">
        <f>IF($A11="","",SUMIFS('2 Sản lượng theo ca'!$L$6:$L$505,'2 Sản lượng theo ca'!$A$6:$A$505,"&gt;="&amp;$B$4,'2 Sản lượng theo ca'!$A$6:$A$505,"&lt;="&amp;$D$4,'2 Sản lượng theo ca'!$C$6:$C$505,$A11))</f>
        <v/>
      </c>
      <c r="G11" s="44" t="str">
        <f t="shared" si="0"/>
        <v/>
      </c>
      <c r="H11" s="44" t="str">
        <f t="shared" si="1"/>
        <v/>
      </c>
      <c r="I11" s="43" t="str">
        <f>IF($A11="","",SUMIFS('2 Sản lượng theo ca'!$P$6:$P$505,'2 Sản lượng theo ca'!$A$6:$A$505,"&gt;="&amp;$B$4,'2 Sản lượng theo ca'!$A$6:$A$505,"&lt;="&amp;$D$4,'2 Sản lượng theo ca'!$C$6:$C$505,$A11))</f>
        <v/>
      </c>
      <c r="J11" s="43" t="str">
        <f>IF($A11="","",SUMIFS('2 Sản lượng theo ca'!$Q$6:$Q$505,'2 Sản lượng theo ca'!$A$6:$A$505,"&gt;="&amp;$B$4,'2 Sản lượng theo ca'!$A$6:$A$505,"&lt;="&amp;$D$4,'2 Sản lượng theo ca'!$C$6:$C$505,$A11))</f>
        <v/>
      </c>
      <c r="K11" s="42" t="str">
        <f>IF($A11="","",SUMIFS('2 Sản lượng theo ca'!$R$6:$R$505,'2 Sản lượng theo ca'!$A$6:$A$505,"&gt;="&amp;$B$4,'2 Sản lượng theo ca'!$A$6:$A$505,"&lt;="&amp;$D$4,'2 Sản lượng theo ca'!$C$6:$C$505,$A11))</f>
        <v/>
      </c>
      <c r="L11" s="45" t="str">
        <f>IF($A11="","",SUMIFS('2 Sản lượng theo ca'!$T$6:$T$505,'2 Sản lượng theo ca'!$A$6:$A$505,"&gt;="&amp;$B$4,'2 Sản lượng theo ca'!$A$6:$A$505,"&lt;="&amp;$D$4,'2 Sản lượng theo ca'!$C$6:$C$505,$A11))</f>
        <v/>
      </c>
      <c r="M11" s="54" t="str">
        <f>IF($A11="","",IF(N(I11)&lt;=0,"",SUMIFS('2 Sản lượng theo ca'!$U$6:$U$505,'2 Sản lượng theo ca'!$A$6:$A$505,"&gt;="&amp;$B$4,'2 Sản lượng theo ca'!$A$6:$A$505,"&lt;="&amp;$D$4,'2 Sản lượng theo ca'!$C$6:$C$505,$A11)/I11))</f>
        <v/>
      </c>
      <c r="N11" s="42" t="str">
        <f>IF($A11="","",COUNTIFS('2 Sản lượng theo ca'!$A$6:$A$505,"&gt;="&amp;$B$4,'2 Sản lượng theo ca'!$A$6:$A$505,"&lt;="&amp;$D$4,'2 Sản lượng theo ca'!$C$6:$C$505,$A11,'2 Sản lượng theo ca'!$X$6:$X$505,"?*"))</f>
        <v/>
      </c>
    </row>
    <row r="12" spans="1:14" x14ac:dyDescent="0.2">
      <c r="A12" s="33" t="str">
        <f>IF(INDEX(DS_MAY,7)="","",INDEX(DS_MAY,7))</f>
        <v/>
      </c>
      <c r="B12" s="42" t="str">
        <f>IF($A12="","",COUNTIFS('2 Sản lượng theo ca'!$A$6:$A$505,"&gt;="&amp;$B$4,'2 Sản lượng theo ca'!$A$6:$A$505,"&lt;="&amp;$D$4,'2 Sản lượng theo ca'!$C$6:$C$505,$A12))</f>
        <v/>
      </c>
      <c r="C12" s="43" t="str">
        <f>IF($A12="","",SUMIFS('2 Sản lượng theo ca'!$G$6:$G$505,'2 Sản lượng theo ca'!$A$6:$A$505,"&gt;="&amp;$B$4,'2 Sản lượng theo ca'!$A$6:$A$505,"&lt;="&amp;$D$4,'2 Sản lượng theo ca'!$C$6:$C$505,$A12))</f>
        <v/>
      </c>
      <c r="D12" s="43" t="str">
        <f>IF($A12="","",SUMIFS('2 Sản lượng theo ca'!$H$6:$H$505,'2 Sản lượng theo ca'!$A$6:$A$505,"&gt;="&amp;$B$4,'2 Sản lượng theo ca'!$A$6:$A$505,"&lt;="&amp;$D$4,'2 Sản lượng theo ca'!$C$6:$C$505,$A12))</f>
        <v/>
      </c>
      <c r="E12" s="43" t="str">
        <f>IF($A12="","",SUMIFS('2 Sản lượng theo ca'!$I$6:$I$505,'2 Sản lượng theo ca'!$A$6:$A$505,"&gt;="&amp;$B$4,'2 Sản lượng theo ca'!$A$6:$A$505,"&lt;="&amp;$D$4,'2 Sản lượng theo ca'!$C$6:$C$505,$A12))</f>
        <v/>
      </c>
      <c r="F12" s="43" t="str">
        <f>IF($A12="","",SUMIFS('2 Sản lượng theo ca'!$L$6:$L$505,'2 Sản lượng theo ca'!$A$6:$A$505,"&gt;="&amp;$B$4,'2 Sản lượng theo ca'!$A$6:$A$505,"&lt;="&amp;$D$4,'2 Sản lượng theo ca'!$C$6:$C$505,$A12))</f>
        <v/>
      </c>
      <c r="G12" s="44" t="str">
        <f t="shared" si="0"/>
        <v/>
      </c>
      <c r="H12" s="44" t="str">
        <f t="shared" si="1"/>
        <v/>
      </c>
      <c r="I12" s="43" t="str">
        <f>IF($A12="","",SUMIFS('2 Sản lượng theo ca'!$P$6:$P$505,'2 Sản lượng theo ca'!$A$6:$A$505,"&gt;="&amp;$B$4,'2 Sản lượng theo ca'!$A$6:$A$505,"&lt;="&amp;$D$4,'2 Sản lượng theo ca'!$C$6:$C$505,$A12))</f>
        <v/>
      </c>
      <c r="J12" s="43" t="str">
        <f>IF($A12="","",SUMIFS('2 Sản lượng theo ca'!$Q$6:$Q$505,'2 Sản lượng theo ca'!$A$6:$A$505,"&gt;="&amp;$B$4,'2 Sản lượng theo ca'!$A$6:$A$505,"&lt;="&amp;$D$4,'2 Sản lượng theo ca'!$C$6:$C$505,$A12))</f>
        <v/>
      </c>
      <c r="K12" s="42" t="str">
        <f>IF($A12="","",SUMIFS('2 Sản lượng theo ca'!$R$6:$R$505,'2 Sản lượng theo ca'!$A$6:$A$505,"&gt;="&amp;$B$4,'2 Sản lượng theo ca'!$A$6:$A$505,"&lt;="&amp;$D$4,'2 Sản lượng theo ca'!$C$6:$C$505,$A12))</f>
        <v/>
      </c>
      <c r="L12" s="45" t="str">
        <f>IF($A12="","",SUMIFS('2 Sản lượng theo ca'!$T$6:$T$505,'2 Sản lượng theo ca'!$A$6:$A$505,"&gt;="&amp;$B$4,'2 Sản lượng theo ca'!$A$6:$A$505,"&lt;="&amp;$D$4,'2 Sản lượng theo ca'!$C$6:$C$505,$A12))</f>
        <v/>
      </c>
      <c r="M12" s="54" t="str">
        <f>IF($A12="","",IF(N(I12)&lt;=0,"",SUMIFS('2 Sản lượng theo ca'!$U$6:$U$505,'2 Sản lượng theo ca'!$A$6:$A$505,"&gt;="&amp;$B$4,'2 Sản lượng theo ca'!$A$6:$A$505,"&lt;="&amp;$D$4,'2 Sản lượng theo ca'!$C$6:$C$505,$A12)/I12))</f>
        <v/>
      </c>
      <c r="N12" s="42" t="str">
        <f>IF($A12="","",COUNTIFS('2 Sản lượng theo ca'!$A$6:$A$505,"&gt;="&amp;$B$4,'2 Sản lượng theo ca'!$A$6:$A$505,"&lt;="&amp;$D$4,'2 Sản lượng theo ca'!$C$6:$C$505,$A12,'2 Sản lượng theo ca'!$X$6:$X$505,"?*"))</f>
        <v/>
      </c>
    </row>
    <row r="13" spans="1:14" x14ac:dyDescent="0.2">
      <c r="A13" s="33" t="str">
        <f>IF(INDEX(DS_MAY,8)="","",INDEX(DS_MAY,8))</f>
        <v/>
      </c>
      <c r="B13" s="42" t="str">
        <f>IF($A13="","",COUNTIFS('2 Sản lượng theo ca'!$A$6:$A$505,"&gt;="&amp;$B$4,'2 Sản lượng theo ca'!$A$6:$A$505,"&lt;="&amp;$D$4,'2 Sản lượng theo ca'!$C$6:$C$505,$A13))</f>
        <v/>
      </c>
      <c r="C13" s="43" t="str">
        <f>IF($A13="","",SUMIFS('2 Sản lượng theo ca'!$G$6:$G$505,'2 Sản lượng theo ca'!$A$6:$A$505,"&gt;="&amp;$B$4,'2 Sản lượng theo ca'!$A$6:$A$505,"&lt;="&amp;$D$4,'2 Sản lượng theo ca'!$C$6:$C$505,$A13))</f>
        <v/>
      </c>
      <c r="D13" s="43" t="str">
        <f>IF($A13="","",SUMIFS('2 Sản lượng theo ca'!$H$6:$H$505,'2 Sản lượng theo ca'!$A$6:$A$505,"&gt;="&amp;$B$4,'2 Sản lượng theo ca'!$A$6:$A$505,"&lt;="&amp;$D$4,'2 Sản lượng theo ca'!$C$6:$C$505,$A13))</f>
        <v/>
      </c>
      <c r="E13" s="43" t="str">
        <f>IF($A13="","",SUMIFS('2 Sản lượng theo ca'!$I$6:$I$505,'2 Sản lượng theo ca'!$A$6:$A$505,"&gt;="&amp;$B$4,'2 Sản lượng theo ca'!$A$6:$A$505,"&lt;="&amp;$D$4,'2 Sản lượng theo ca'!$C$6:$C$505,$A13))</f>
        <v/>
      </c>
      <c r="F13" s="43" t="str">
        <f>IF($A13="","",SUMIFS('2 Sản lượng theo ca'!$L$6:$L$505,'2 Sản lượng theo ca'!$A$6:$A$505,"&gt;="&amp;$B$4,'2 Sản lượng theo ca'!$A$6:$A$505,"&lt;="&amp;$D$4,'2 Sản lượng theo ca'!$C$6:$C$505,$A13))</f>
        <v/>
      </c>
      <c r="G13" s="44" t="str">
        <f t="shared" si="0"/>
        <v/>
      </c>
      <c r="H13" s="44" t="str">
        <f t="shared" si="1"/>
        <v/>
      </c>
      <c r="I13" s="43" t="str">
        <f>IF($A13="","",SUMIFS('2 Sản lượng theo ca'!$P$6:$P$505,'2 Sản lượng theo ca'!$A$6:$A$505,"&gt;="&amp;$B$4,'2 Sản lượng theo ca'!$A$6:$A$505,"&lt;="&amp;$D$4,'2 Sản lượng theo ca'!$C$6:$C$505,$A13))</f>
        <v/>
      </c>
      <c r="J13" s="43" t="str">
        <f>IF($A13="","",SUMIFS('2 Sản lượng theo ca'!$Q$6:$Q$505,'2 Sản lượng theo ca'!$A$6:$A$505,"&gt;="&amp;$B$4,'2 Sản lượng theo ca'!$A$6:$A$505,"&lt;="&amp;$D$4,'2 Sản lượng theo ca'!$C$6:$C$505,$A13))</f>
        <v/>
      </c>
      <c r="K13" s="42" t="str">
        <f>IF($A13="","",SUMIFS('2 Sản lượng theo ca'!$R$6:$R$505,'2 Sản lượng theo ca'!$A$6:$A$505,"&gt;="&amp;$B$4,'2 Sản lượng theo ca'!$A$6:$A$505,"&lt;="&amp;$D$4,'2 Sản lượng theo ca'!$C$6:$C$505,$A13))</f>
        <v/>
      </c>
      <c r="L13" s="45" t="str">
        <f>IF($A13="","",SUMIFS('2 Sản lượng theo ca'!$T$6:$T$505,'2 Sản lượng theo ca'!$A$6:$A$505,"&gt;="&amp;$B$4,'2 Sản lượng theo ca'!$A$6:$A$505,"&lt;="&amp;$D$4,'2 Sản lượng theo ca'!$C$6:$C$505,$A13))</f>
        <v/>
      </c>
      <c r="M13" s="54" t="str">
        <f>IF($A13="","",IF(N(I13)&lt;=0,"",SUMIFS('2 Sản lượng theo ca'!$U$6:$U$505,'2 Sản lượng theo ca'!$A$6:$A$505,"&gt;="&amp;$B$4,'2 Sản lượng theo ca'!$A$6:$A$505,"&lt;="&amp;$D$4,'2 Sản lượng theo ca'!$C$6:$C$505,$A13)/I13))</f>
        <v/>
      </c>
      <c r="N13" s="42" t="str">
        <f>IF($A13="","",COUNTIFS('2 Sản lượng theo ca'!$A$6:$A$505,"&gt;="&amp;$B$4,'2 Sản lượng theo ca'!$A$6:$A$505,"&lt;="&amp;$D$4,'2 Sản lượng theo ca'!$C$6:$C$505,$A13,'2 Sản lượng theo ca'!$X$6:$X$505,"?*"))</f>
        <v/>
      </c>
    </row>
    <row r="14" spans="1:14" x14ac:dyDescent="0.2">
      <c r="A14" s="33" t="str">
        <f>IF(INDEX(DS_MAY,9)="","",INDEX(DS_MAY,9))</f>
        <v/>
      </c>
      <c r="B14" s="42" t="str">
        <f>IF($A14="","",COUNTIFS('2 Sản lượng theo ca'!$A$6:$A$505,"&gt;="&amp;$B$4,'2 Sản lượng theo ca'!$A$6:$A$505,"&lt;="&amp;$D$4,'2 Sản lượng theo ca'!$C$6:$C$505,$A14))</f>
        <v/>
      </c>
      <c r="C14" s="43" t="str">
        <f>IF($A14="","",SUMIFS('2 Sản lượng theo ca'!$G$6:$G$505,'2 Sản lượng theo ca'!$A$6:$A$505,"&gt;="&amp;$B$4,'2 Sản lượng theo ca'!$A$6:$A$505,"&lt;="&amp;$D$4,'2 Sản lượng theo ca'!$C$6:$C$505,$A14))</f>
        <v/>
      </c>
      <c r="D14" s="43" t="str">
        <f>IF($A14="","",SUMIFS('2 Sản lượng theo ca'!$H$6:$H$505,'2 Sản lượng theo ca'!$A$6:$A$505,"&gt;="&amp;$B$4,'2 Sản lượng theo ca'!$A$6:$A$505,"&lt;="&amp;$D$4,'2 Sản lượng theo ca'!$C$6:$C$505,$A14))</f>
        <v/>
      </c>
      <c r="E14" s="43" t="str">
        <f>IF($A14="","",SUMIFS('2 Sản lượng theo ca'!$I$6:$I$505,'2 Sản lượng theo ca'!$A$6:$A$505,"&gt;="&amp;$B$4,'2 Sản lượng theo ca'!$A$6:$A$505,"&lt;="&amp;$D$4,'2 Sản lượng theo ca'!$C$6:$C$505,$A14))</f>
        <v/>
      </c>
      <c r="F14" s="43" t="str">
        <f>IF($A14="","",SUMIFS('2 Sản lượng theo ca'!$L$6:$L$505,'2 Sản lượng theo ca'!$A$6:$A$505,"&gt;="&amp;$B$4,'2 Sản lượng theo ca'!$A$6:$A$505,"&lt;="&amp;$D$4,'2 Sản lượng theo ca'!$C$6:$C$505,$A14))</f>
        <v/>
      </c>
      <c r="G14" s="44" t="str">
        <f t="shared" si="0"/>
        <v/>
      </c>
      <c r="H14" s="44" t="str">
        <f t="shared" si="1"/>
        <v/>
      </c>
      <c r="I14" s="43" t="str">
        <f>IF($A14="","",SUMIFS('2 Sản lượng theo ca'!$P$6:$P$505,'2 Sản lượng theo ca'!$A$6:$A$505,"&gt;="&amp;$B$4,'2 Sản lượng theo ca'!$A$6:$A$505,"&lt;="&amp;$D$4,'2 Sản lượng theo ca'!$C$6:$C$505,$A14))</f>
        <v/>
      </c>
      <c r="J14" s="43" t="str">
        <f>IF($A14="","",SUMIFS('2 Sản lượng theo ca'!$Q$6:$Q$505,'2 Sản lượng theo ca'!$A$6:$A$505,"&gt;="&amp;$B$4,'2 Sản lượng theo ca'!$A$6:$A$505,"&lt;="&amp;$D$4,'2 Sản lượng theo ca'!$C$6:$C$505,$A14))</f>
        <v/>
      </c>
      <c r="K14" s="42" t="str">
        <f>IF($A14="","",SUMIFS('2 Sản lượng theo ca'!$R$6:$R$505,'2 Sản lượng theo ca'!$A$6:$A$505,"&gt;="&amp;$B$4,'2 Sản lượng theo ca'!$A$6:$A$505,"&lt;="&amp;$D$4,'2 Sản lượng theo ca'!$C$6:$C$505,$A14))</f>
        <v/>
      </c>
      <c r="L14" s="45" t="str">
        <f>IF($A14="","",SUMIFS('2 Sản lượng theo ca'!$T$6:$T$505,'2 Sản lượng theo ca'!$A$6:$A$505,"&gt;="&amp;$B$4,'2 Sản lượng theo ca'!$A$6:$A$505,"&lt;="&amp;$D$4,'2 Sản lượng theo ca'!$C$6:$C$505,$A14))</f>
        <v/>
      </c>
      <c r="M14" s="54" t="str">
        <f>IF($A14="","",IF(N(I14)&lt;=0,"",SUMIFS('2 Sản lượng theo ca'!$U$6:$U$505,'2 Sản lượng theo ca'!$A$6:$A$505,"&gt;="&amp;$B$4,'2 Sản lượng theo ca'!$A$6:$A$505,"&lt;="&amp;$D$4,'2 Sản lượng theo ca'!$C$6:$C$505,$A14)/I14))</f>
        <v/>
      </c>
      <c r="N14" s="42" t="str">
        <f>IF($A14="","",COUNTIFS('2 Sản lượng theo ca'!$A$6:$A$505,"&gt;="&amp;$B$4,'2 Sản lượng theo ca'!$A$6:$A$505,"&lt;="&amp;$D$4,'2 Sản lượng theo ca'!$C$6:$C$505,$A14,'2 Sản lượng theo ca'!$X$6:$X$505,"?*"))</f>
        <v/>
      </c>
    </row>
    <row r="15" spans="1:14" x14ac:dyDescent="0.2">
      <c r="A15" s="33" t="str">
        <f>IF(INDEX(DS_MAY,10)="","",INDEX(DS_MAY,10))</f>
        <v/>
      </c>
      <c r="B15" s="42" t="str">
        <f>IF($A15="","",COUNTIFS('2 Sản lượng theo ca'!$A$6:$A$505,"&gt;="&amp;$B$4,'2 Sản lượng theo ca'!$A$6:$A$505,"&lt;="&amp;$D$4,'2 Sản lượng theo ca'!$C$6:$C$505,$A15))</f>
        <v/>
      </c>
      <c r="C15" s="43" t="str">
        <f>IF($A15="","",SUMIFS('2 Sản lượng theo ca'!$G$6:$G$505,'2 Sản lượng theo ca'!$A$6:$A$505,"&gt;="&amp;$B$4,'2 Sản lượng theo ca'!$A$6:$A$505,"&lt;="&amp;$D$4,'2 Sản lượng theo ca'!$C$6:$C$505,$A15))</f>
        <v/>
      </c>
      <c r="D15" s="43" t="str">
        <f>IF($A15="","",SUMIFS('2 Sản lượng theo ca'!$H$6:$H$505,'2 Sản lượng theo ca'!$A$6:$A$505,"&gt;="&amp;$B$4,'2 Sản lượng theo ca'!$A$6:$A$505,"&lt;="&amp;$D$4,'2 Sản lượng theo ca'!$C$6:$C$505,$A15))</f>
        <v/>
      </c>
      <c r="E15" s="43" t="str">
        <f>IF($A15="","",SUMIFS('2 Sản lượng theo ca'!$I$6:$I$505,'2 Sản lượng theo ca'!$A$6:$A$505,"&gt;="&amp;$B$4,'2 Sản lượng theo ca'!$A$6:$A$505,"&lt;="&amp;$D$4,'2 Sản lượng theo ca'!$C$6:$C$505,$A15))</f>
        <v/>
      </c>
      <c r="F15" s="43" t="str">
        <f>IF($A15="","",SUMIFS('2 Sản lượng theo ca'!$L$6:$L$505,'2 Sản lượng theo ca'!$A$6:$A$505,"&gt;="&amp;$B$4,'2 Sản lượng theo ca'!$A$6:$A$505,"&lt;="&amp;$D$4,'2 Sản lượng theo ca'!$C$6:$C$505,$A15))</f>
        <v/>
      </c>
      <c r="G15" s="44" t="str">
        <f t="shared" si="0"/>
        <v/>
      </c>
      <c r="H15" s="44" t="str">
        <f t="shared" si="1"/>
        <v/>
      </c>
      <c r="I15" s="43" t="str">
        <f>IF($A15="","",SUMIFS('2 Sản lượng theo ca'!$P$6:$P$505,'2 Sản lượng theo ca'!$A$6:$A$505,"&gt;="&amp;$B$4,'2 Sản lượng theo ca'!$A$6:$A$505,"&lt;="&amp;$D$4,'2 Sản lượng theo ca'!$C$6:$C$505,$A15))</f>
        <v/>
      </c>
      <c r="J15" s="43" t="str">
        <f>IF($A15="","",SUMIFS('2 Sản lượng theo ca'!$Q$6:$Q$505,'2 Sản lượng theo ca'!$A$6:$A$505,"&gt;="&amp;$B$4,'2 Sản lượng theo ca'!$A$6:$A$505,"&lt;="&amp;$D$4,'2 Sản lượng theo ca'!$C$6:$C$505,$A15))</f>
        <v/>
      </c>
      <c r="K15" s="42" t="str">
        <f>IF($A15="","",SUMIFS('2 Sản lượng theo ca'!$R$6:$R$505,'2 Sản lượng theo ca'!$A$6:$A$505,"&gt;="&amp;$B$4,'2 Sản lượng theo ca'!$A$6:$A$505,"&lt;="&amp;$D$4,'2 Sản lượng theo ca'!$C$6:$C$505,$A15))</f>
        <v/>
      </c>
      <c r="L15" s="45" t="str">
        <f>IF($A15="","",SUMIFS('2 Sản lượng theo ca'!$T$6:$T$505,'2 Sản lượng theo ca'!$A$6:$A$505,"&gt;="&amp;$B$4,'2 Sản lượng theo ca'!$A$6:$A$505,"&lt;="&amp;$D$4,'2 Sản lượng theo ca'!$C$6:$C$505,$A15))</f>
        <v/>
      </c>
      <c r="M15" s="54" t="str">
        <f>IF($A15="","",IF(N(I15)&lt;=0,"",SUMIFS('2 Sản lượng theo ca'!$U$6:$U$505,'2 Sản lượng theo ca'!$A$6:$A$505,"&gt;="&amp;$B$4,'2 Sản lượng theo ca'!$A$6:$A$505,"&lt;="&amp;$D$4,'2 Sản lượng theo ca'!$C$6:$C$505,$A15)/I15))</f>
        <v/>
      </c>
      <c r="N15" s="42" t="str">
        <f>IF($A15="","",COUNTIFS('2 Sản lượng theo ca'!$A$6:$A$505,"&gt;="&amp;$B$4,'2 Sản lượng theo ca'!$A$6:$A$505,"&lt;="&amp;$D$4,'2 Sản lượng theo ca'!$C$6:$C$505,$A15,'2 Sản lượng theo ca'!$X$6:$X$505,"?*"))</f>
        <v/>
      </c>
    </row>
    <row r="16" spans="1:14" x14ac:dyDescent="0.2">
      <c r="A16" s="33" t="str">
        <f>IF(INDEX(DS_MAY,11)="","",INDEX(DS_MAY,11))</f>
        <v/>
      </c>
      <c r="B16" s="42" t="str">
        <f>IF($A16="","",COUNTIFS('2 Sản lượng theo ca'!$A$6:$A$505,"&gt;="&amp;$B$4,'2 Sản lượng theo ca'!$A$6:$A$505,"&lt;="&amp;$D$4,'2 Sản lượng theo ca'!$C$6:$C$505,$A16))</f>
        <v/>
      </c>
      <c r="C16" s="43" t="str">
        <f>IF($A16="","",SUMIFS('2 Sản lượng theo ca'!$G$6:$G$505,'2 Sản lượng theo ca'!$A$6:$A$505,"&gt;="&amp;$B$4,'2 Sản lượng theo ca'!$A$6:$A$505,"&lt;="&amp;$D$4,'2 Sản lượng theo ca'!$C$6:$C$505,$A16))</f>
        <v/>
      </c>
      <c r="D16" s="43" t="str">
        <f>IF($A16="","",SUMIFS('2 Sản lượng theo ca'!$H$6:$H$505,'2 Sản lượng theo ca'!$A$6:$A$505,"&gt;="&amp;$B$4,'2 Sản lượng theo ca'!$A$6:$A$505,"&lt;="&amp;$D$4,'2 Sản lượng theo ca'!$C$6:$C$505,$A16))</f>
        <v/>
      </c>
      <c r="E16" s="43" t="str">
        <f>IF($A16="","",SUMIFS('2 Sản lượng theo ca'!$I$6:$I$505,'2 Sản lượng theo ca'!$A$6:$A$505,"&gt;="&amp;$B$4,'2 Sản lượng theo ca'!$A$6:$A$505,"&lt;="&amp;$D$4,'2 Sản lượng theo ca'!$C$6:$C$505,$A16))</f>
        <v/>
      </c>
      <c r="F16" s="43" t="str">
        <f>IF($A16="","",SUMIFS('2 Sản lượng theo ca'!$L$6:$L$505,'2 Sản lượng theo ca'!$A$6:$A$505,"&gt;="&amp;$B$4,'2 Sản lượng theo ca'!$A$6:$A$505,"&lt;="&amp;$D$4,'2 Sản lượng theo ca'!$C$6:$C$505,$A16))</f>
        <v/>
      </c>
      <c r="G16" s="44" t="str">
        <f t="shared" si="0"/>
        <v/>
      </c>
      <c r="H16" s="44" t="str">
        <f t="shared" si="1"/>
        <v/>
      </c>
      <c r="I16" s="43" t="str">
        <f>IF($A16="","",SUMIFS('2 Sản lượng theo ca'!$P$6:$P$505,'2 Sản lượng theo ca'!$A$6:$A$505,"&gt;="&amp;$B$4,'2 Sản lượng theo ca'!$A$6:$A$505,"&lt;="&amp;$D$4,'2 Sản lượng theo ca'!$C$6:$C$505,$A16))</f>
        <v/>
      </c>
      <c r="J16" s="43" t="str">
        <f>IF($A16="","",SUMIFS('2 Sản lượng theo ca'!$Q$6:$Q$505,'2 Sản lượng theo ca'!$A$6:$A$505,"&gt;="&amp;$B$4,'2 Sản lượng theo ca'!$A$6:$A$505,"&lt;="&amp;$D$4,'2 Sản lượng theo ca'!$C$6:$C$505,$A16))</f>
        <v/>
      </c>
      <c r="K16" s="42" t="str">
        <f>IF($A16="","",SUMIFS('2 Sản lượng theo ca'!$R$6:$R$505,'2 Sản lượng theo ca'!$A$6:$A$505,"&gt;="&amp;$B$4,'2 Sản lượng theo ca'!$A$6:$A$505,"&lt;="&amp;$D$4,'2 Sản lượng theo ca'!$C$6:$C$505,$A16))</f>
        <v/>
      </c>
      <c r="L16" s="45" t="str">
        <f>IF($A16="","",SUMIFS('2 Sản lượng theo ca'!$T$6:$T$505,'2 Sản lượng theo ca'!$A$6:$A$505,"&gt;="&amp;$B$4,'2 Sản lượng theo ca'!$A$6:$A$505,"&lt;="&amp;$D$4,'2 Sản lượng theo ca'!$C$6:$C$505,$A16))</f>
        <v/>
      </c>
      <c r="M16" s="54" t="str">
        <f>IF($A16="","",IF(N(I16)&lt;=0,"",SUMIFS('2 Sản lượng theo ca'!$U$6:$U$505,'2 Sản lượng theo ca'!$A$6:$A$505,"&gt;="&amp;$B$4,'2 Sản lượng theo ca'!$A$6:$A$505,"&lt;="&amp;$D$4,'2 Sản lượng theo ca'!$C$6:$C$505,$A16)/I16))</f>
        <v/>
      </c>
      <c r="N16" s="42" t="str">
        <f>IF($A16="","",COUNTIFS('2 Sản lượng theo ca'!$A$6:$A$505,"&gt;="&amp;$B$4,'2 Sản lượng theo ca'!$A$6:$A$505,"&lt;="&amp;$D$4,'2 Sản lượng theo ca'!$C$6:$C$505,$A16,'2 Sản lượng theo ca'!$X$6:$X$505,"?*"))</f>
        <v/>
      </c>
    </row>
    <row r="17" spans="1:14" x14ac:dyDescent="0.2">
      <c r="A17" s="33" t="str">
        <f>IF(INDEX(DS_MAY,12)="","",INDEX(DS_MAY,12))</f>
        <v/>
      </c>
      <c r="B17" s="42" t="str">
        <f>IF($A17="","",COUNTIFS('2 Sản lượng theo ca'!$A$6:$A$505,"&gt;="&amp;$B$4,'2 Sản lượng theo ca'!$A$6:$A$505,"&lt;="&amp;$D$4,'2 Sản lượng theo ca'!$C$6:$C$505,$A17))</f>
        <v/>
      </c>
      <c r="C17" s="43" t="str">
        <f>IF($A17="","",SUMIFS('2 Sản lượng theo ca'!$G$6:$G$505,'2 Sản lượng theo ca'!$A$6:$A$505,"&gt;="&amp;$B$4,'2 Sản lượng theo ca'!$A$6:$A$505,"&lt;="&amp;$D$4,'2 Sản lượng theo ca'!$C$6:$C$505,$A17))</f>
        <v/>
      </c>
      <c r="D17" s="43" t="str">
        <f>IF($A17="","",SUMIFS('2 Sản lượng theo ca'!$H$6:$H$505,'2 Sản lượng theo ca'!$A$6:$A$505,"&gt;="&amp;$B$4,'2 Sản lượng theo ca'!$A$6:$A$505,"&lt;="&amp;$D$4,'2 Sản lượng theo ca'!$C$6:$C$505,$A17))</f>
        <v/>
      </c>
      <c r="E17" s="43" t="str">
        <f>IF($A17="","",SUMIFS('2 Sản lượng theo ca'!$I$6:$I$505,'2 Sản lượng theo ca'!$A$6:$A$505,"&gt;="&amp;$B$4,'2 Sản lượng theo ca'!$A$6:$A$505,"&lt;="&amp;$D$4,'2 Sản lượng theo ca'!$C$6:$C$505,$A17))</f>
        <v/>
      </c>
      <c r="F17" s="43" t="str">
        <f>IF($A17="","",SUMIFS('2 Sản lượng theo ca'!$L$6:$L$505,'2 Sản lượng theo ca'!$A$6:$A$505,"&gt;="&amp;$B$4,'2 Sản lượng theo ca'!$A$6:$A$505,"&lt;="&amp;$D$4,'2 Sản lượng theo ca'!$C$6:$C$505,$A17))</f>
        <v/>
      </c>
      <c r="G17" s="44" t="str">
        <f t="shared" si="0"/>
        <v/>
      </c>
      <c r="H17" s="44" t="str">
        <f t="shared" si="1"/>
        <v/>
      </c>
      <c r="I17" s="43" t="str">
        <f>IF($A17="","",SUMIFS('2 Sản lượng theo ca'!$P$6:$P$505,'2 Sản lượng theo ca'!$A$6:$A$505,"&gt;="&amp;$B$4,'2 Sản lượng theo ca'!$A$6:$A$505,"&lt;="&amp;$D$4,'2 Sản lượng theo ca'!$C$6:$C$505,$A17))</f>
        <v/>
      </c>
      <c r="J17" s="43" t="str">
        <f>IF($A17="","",SUMIFS('2 Sản lượng theo ca'!$Q$6:$Q$505,'2 Sản lượng theo ca'!$A$6:$A$505,"&gt;="&amp;$B$4,'2 Sản lượng theo ca'!$A$6:$A$505,"&lt;="&amp;$D$4,'2 Sản lượng theo ca'!$C$6:$C$505,$A17))</f>
        <v/>
      </c>
      <c r="K17" s="42" t="str">
        <f>IF($A17="","",SUMIFS('2 Sản lượng theo ca'!$R$6:$R$505,'2 Sản lượng theo ca'!$A$6:$A$505,"&gt;="&amp;$B$4,'2 Sản lượng theo ca'!$A$6:$A$505,"&lt;="&amp;$D$4,'2 Sản lượng theo ca'!$C$6:$C$505,$A17))</f>
        <v/>
      </c>
      <c r="L17" s="45" t="str">
        <f>IF($A17="","",SUMIFS('2 Sản lượng theo ca'!$T$6:$T$505,'2 Sản lượng theo ca'!$A$6:$A$505,"&gt;="&amp;$B$4,'2 Sản lượng theo ca'!$A$6:$A$505,"&lt;="&amp;$D$4,'2 Sản lượng theo ca'!$C$6:$C$505,$A17))</f>
        <v/>
      </c>
      <c r="M17" s="54" t="str">
        <f>IF($A17="","",IF(N(I17)&lt;=0,"",SUMIFS('2 Sản lượng theo ca'!$U$6:$U$505,'2 Sản lượng theo ca'!$A$6:$A$505,"&gt;="&amp;$B$4,'2 Sản lượng theo ca'!$A$6:$A$505,"&lt;="&amp;$D$4,'2 Sản lượng theo ca'!$C$6:$C$505,$A17)/I17))</f>
        <v/>
      </c>
      <c r="N17" s="42" t="str">
        <f>IF($A17="","",COUNTIFS('2 Sản lượng theo ca'!$A$6:$A$505,"&gt;="&amp;$B$4,'2 Sản lượng theo ca'!$A$6:$A$505,"&lt;="&amp;$D$4,'2 Sản lượng theo ca'!$C$6:$C$505,$A17,'2 Sản lượng theo ca'!$X$6:$X$505,"?*"))</f>
        <v/>
      </c>
    </row>
    <row r="18" spans="1:14" x14ac:dyDescent="0.2">
      <c r="A18" s="33" t="str">
        <f>IF(INDEX(DS_MAY,13)="","",INDEX(DS_MAY,13))</f>
        <v/>
      </c>
      <c r="B18" s="42" t="str">
        <f>IF($A18="","",COUNTIFS('2 Sản lượng theo ca'!$A$6:$A$505,"&gt;="&amp;$B$4,'2 Sản lượng theo ca'!$A$6:$A$505,"&lt;="&amp;$D$4,'2 Sản lượng theo ca'!$C$6:$C$505,$A18))</f>
        <v/>
      </c>
      <c r="C18" s="43" t="str">
        <f>IF($A18="","",SUMIFS('2 Sản lượng theo ca'!$G$6:$G$505,'2 Sản lượng theo ca'!$A$6:$A$505,"&gt;="&amp;$B$4,'2 Sản lượng theo ca'!$A$6:$A$505,"&lt;="&amp;$D$4,'2 Sản lượng theo ca'!$C$6:$C$505,$A18))</f>
        <v/>
      </c>
      <c r="D18" s="43" t="str">
        <f>IF($A18="","",SUMIFS('2 Sản lượng theo ca'!$H$6:$H$505,'2 Sản lượng theo ca'!$A$6:$A$505,"&gt;="&amp;$B$4,'2 Sản lượng theo ca'!$A$6:$A$505,"&lt;="&amp;$D$4,'2 Sản lượng theo ca'!$C$6:$C$505,$A18))</f>
        <v/>
      </c>
      <c r="E18" s="43" t="str">
        <f>IF($A18="","",SUMIFS('2 Sản lượng theo ca'!$I$6:$I$505,'2 Sản lượng theo ca'!$A$6:$A$505,"&gt;="&amp;$B$4,'2 Sản lượng theo ca'!$A$6:$A$505,"&lt;="&amp;$D$4,'2 Sản lượng theo ca'!$C$6:$C$505,$A18))</f>
        <v/>
      </c>
      <c r="F18" s="43" t="str">
        <f>IF($A18="","",SUMIFS('2 Sản lượng theo ca'!$L$6:$L$505,'2 Sản lượng theo ca'!$A$6:$A$505,"&gt;="&amp;$B$4,'2 Sản lượng theo ca'!$A$6:$A$505,"&lt;="&amp;$D$4,'2 Sản lượng theo ca'!$C$6:$C$505,$A18))</f>
        <v/>
      </c>
      <c r="G18" s="44" t="str">
        <f t="shared" si="0"/>
        <v/>
      </c>
      <c r="H18" s="44" t="str">
        <f t="shared" si="1"/>
        <v/>
      </c>
      <c r="I18" s="43" t="str">
        <f>IF($A18="","",SUMIFS('2 Sản lượng theo ca'!$P$6:$P$505,'2 Sản lượng theo ca'!$A$6:$A$505,"&gt;="&amp;$B$4,'2 Sản lượng theo ca'!$A$6:$A$505,"&lt;="&amp;$D$4,'2 Sản lượng theo ca'!$C$6:$C$505,$A18))</f>
        <v/>
      </c>
      <c r="J18" s="43" t="str">
        <f>IF($A18="","",SUMIFS('2 Sản lượng theo ca'!$Q$6:$Q$505,'2 Sản lượng theo ca'!$A$6:$A$505,"&gt;="&amp;$B$4,'2 Sản lượng theo ca'!$A$6:$A$505,"&lt;="&amp;$D$4,'2 Sản lượng theo ca'!$C$6:$C$505,$A18))</f>
        <v/>
      </c>
      <c r="K18" s="42" t="str">
        <f>IF($A18="","",SUMIFS('2 Sản lượng theo ca'!$R$6:$R$505,'2 Sản lượng theo ca'!$A$6:$A$505,"&gt;="&amp;$B$4,'2 Sản lượng theo ca'!$A$6:$A$505,"&lt;="&amp;$D$4,'2 Sản lượng theo ca'!$C$6:$C$505,$A18))</f>
        <v/>
      </c>
      <c r="L18" s="45" t="str">
        <f>IF($A18="","",SUMIFS('2 Sản lượng theo ca'!$T$6:$T$505,'2 Sản lượng theo ca'!$A$6:$A$505,"&gt;="&amp;$B$4,'2 Sản lượng theo ca'!$A$6:$A$505,"&lt;="&amp;$D$4,'2 Sản lượng theo ca'!$C$6:$C$505,$A18))</f>
        <v/>
      </c>
      <c r="M18" s="54" t="str">
        <f>IF($A18="","",IF(N(I18)&lt;=0,"",SUMIFS('2 Sản lượng theo ca'!$U$6:$U$505,'2 Sản lượng theo ca'!$A$6:$A$505,"&gt;="&amp;$B$4,'2 Sản lượng theo ca'!$A$6:$A$505,"&lt;="&amp;$D$4,'2 Sản lượng theo ca'!$C$6:$C$505,$A18)/I18))</f>
        <v/>
      </c>
      <c r="N18" s="42" t="str">
        <f>IF($A18="","",COUNTIFS('2 Sản lượng theo ca'!$A$6:$A$505,"&gt;="&amp;$B$4,'2 Sản lượng theo ca'!$A$6:$A$505,"&lt;="&amp;$D$4,'2 Sản lượng theo ca'!$C$6:$C$505,$A18,'2 Sản lượng theo ca'!$X$6:$X$505,"?*"))</f>
        <v/>
      </c>
    </row>
    <row r="19" spans="1:14" x14ac:dyDescent="0.2">
      <c r="A19" s="33" t="str">
        <f>IF(INDEX(DS_MAY,14)="","",INDEX(DS_MAY,14))</f>
        <v/>
      </c>
      <c r="B19" s="42" t="str">
        <f>IF($A19="","",COUNTIFS('2 Sản lượng theo ca'!$A$6:$A$505,"&gt;="&amp;$B$4,'2 Sản lượng theo ca'!$A$6:$A$505,"&lt;="&amp;$D$4,'2 Sản lượng theo ca'!$C$6:$C$505,$A19))</f>
        <v/>
      </c>
      <c r="C19" s="43" t="str">
        <f>IF($A19="","",SUMIFS('2 Sản lượng theo ca'!$G$6:$G$505,'2 Sản lượng theo ca'!$A$6:$A$505,"&gt;="&amp;$B$4,'2 Sản lượng theo ca'!$A$6:$A$505,"&lt;="&amp;$D$4,'2 Sản lượng theo ca'!$C$6:$C$505,$A19))</f>
        <v/>
      </c>
      <c r="D19" s="43" t="str">
        <f>IF($A19="","",SUMIFS('2 Sản lượng theo ca'!$H$6:$H$505,'2 Sản lượng theo ca'!$A$6:$A$505,"&gt;="&amp;$B$4,'2 Sản lượng theo ca'!$A$6:$A$505,"&lt;="&amp;$D$4,'2 Sản lượng theo ca'!$C$6:$C$505,$A19))</f>
        <v/>
      </c>
      <c r="E19" s="43" t="str">
        <f>IF($A19="","",SUMIFS('2 Sản lượng theo ca'!$I$6:$I$505,'2 Sản lượng theo ca'!$A$6:$A$505,"&gt;="&amp;$B$4,'2 Sản lượng theo ca'!$A$6:$A$505,"&lt;="&amp;$D$4,'2 Sản lượng theo ca'!$C$6:$C$505,$A19))</f>
        <v/>
      </c>
      <c r="F19" s="43" t="str">
        <f>IF($A19="","",SUMIFS('2 Sản lượng theo ca'!$L$6:$L$505,'2 Sản lượng theo ca'!$A$6:$A$505,"&gt;="&amp;$B$4,'2 Sản lượng theo ca'!$A$6:$A$505,"&lt;="&amp;$D$4,'2 Sản lượng theo ca'!$C$6:$C$505,$A19))</f>
        <v/>
      </c>
      <c r="G19" s="44" t="str">
        <f t="shared" si="0"/>
        <v/>
      </c>
      <c r="H19" s="44" t="str">
        <f t="shared" si="1"/>
        <v/>
      </c>
      <c r="I19" s="43" t="str">
        <f>IF($A19="","",SUMIFS('2 Sản lượng theo ca'!$P$6:$P$505,'2 Sản lượng theo ca'!$A$6:$A$505,"&gt;="&amp;$B$4,'2 Sản lượng theo ca'!$A$6:$A$505,"&lt;="&amp;$D$4,'2 Sản lượng theo ca'!$C$6:$C$505,$A19))</f>
        <v/>
      </c>
      <c r="J19" s="43" t="str">
        <f>IF($A19="","",SUMIFS('2 Sản lượng theo ca'!$Q$6:$Q$505,'2 Sản lượng theo ca'!$A$6:$A$505,"&gt;="&amp;$B$4,'2 Sản lượng theo ca'!$A$6:$A$505,"&lt;="&amp;$D$4,'2 Sản lượng theo ca'!$C$6:$C$505,$A19))</f>
        <v/>
      </c>
      <c r="K19" s="42" t="str">
        <f>IF($A19="","",SUMIFS('2 Sản lượng theo ca'!$R$6:$R$505,'2 Sản lượng theo ca'!$A$6:$A$505,"&gt;="&amp;$B$4,'2 Sản lượng theo ca'!$A$6:$A$505,"&lt;="&amp;$D$4,'2 Sản lượng theo ca'!$C$6:$C$505,$A19))</f>
        <v/>
      </c>
      <c r="L19" s="45" t="str">
        <f>IF($A19="","",SUMIFS('2 Sản lượng theo ca'!$T$6:$T$505,'2 Sản lượng theo ca'!$A$6:$A$505,"&gt;="&amp;$B$4,'2 Sản lượng theo ca'!$A$6:$A$505,"&lt;="&amp;$D$4,'2 Sản lượng theo ca'!$C$6:$C$505,$A19))</f>
        <v/>
      </c>
      <c r="M19" s="54" t="str">
        <f>IF($A19="","",IF(N(I19)&lt;=0,"",SUMIFS('2 Sản lượng theo ca'!$U$6:$U$505,'2 Sản lượng theo ca'!$A$6:$A$505,"&gt;="&amp;$B$4,'2 Sản lượng theo ca'!$A$6:$A$505,"&lt;="&amp;$D$4,'2 Sản lượng theo ca'!$C$6:$C$505,$A19)/I19))</f>
        <v/>
      </c>
      <c r="N19" s="42" t="str">
        <f>IF($A19="","",COUNTIFS('2 Sản lượng theo ca'!$A$6:$A$505,"&gt;="&amp;$B$4,'2 Sản lượng theo ca'!$A$6:$A$505,"&lt;="&amp;$D$4,'2 Sản lượng theo ca'!$C$6:$C$505,$A19,'2 Sản lượng theo ca'!$X$6:$X$505,"?*"))</f>
        <v/>
      </c>
    </row>
    <row r="20" spans="1:14" x14ac:dyDescent="0.2">
      <c r="A20" s="33" t="str">
        <f>IF(INDEX(DS_MAY,15)="","",INDEX(DS_MAY,15))</f>
        <v/>
      </c>
      <c r="B20" s="42" t="str">
        <f>IF($A20="","",COUNTIFS('2 Sản lượng theo ca'!$A$6:$A$505,"&gt;="&amp;$B$4,'2 Sản lượng theo ca'!$A$6:$A$505,"&lt;="&amp;$D$4,'2 Sản lượng theo ca'!$C$6:$C$505,$A20))</f>
        <v/>
      </c>
      <c r="C20" s="43" t="str">
        <f>IF($A20="","",SUMIFS('2 Sản lượng theo ca'!$G$6:$G$505,'2 Sản lượng theo ca'!$A$6:$A$505,"&gt;="&amp;$B$4,'2 Sản lượng theo ca'!$A$6:$A$505,"&lt;="&amp;$D$4,'2 Sản lượng theo ca'!$C$6:$C$505,$A20))</f>
        <v/>
      </c>
      <c r="D20" s="43" t="str">
        <f>IF($A20="","",SUMIFS('2 Sản lượng theo ca'!$H$6:$H$505,'2 Sản lượng theo ca'!$A$6:$A$505,"&gt;="&amp;$B$4,'2 Sản lượng theo ca'!$A$6:$A$505,"&lt;="&amp;$D$4,'2 Sản lượng theo ca'!$C$6:$C$505,$A20))</f>
        <v/>
      </c>
      <c r="E20" s="43" t="str">
        <f>IF($A20="","",SUMIFS('2 Sản lượng theo ca'!$I$6:$I$505,'2 Sản lượng theo ca'!$A$6:$A$505,"&gt;="&amp;$B$4,'2 Sản lượng theo ca'!$A$6:$A$505,"&lt;="&amp;$D$4,'2 Sản lượng theo ca'!$C$6:$C$505,$A20))</f>
        <v/>
      </c>
      <c r="F20" s="43" t="str">
        <f>IF($A20="","",SUMIFS('2 Sản lượng theo ca'!$L$6:$L$505,'2 Sản lượng theo ca'!$A$6:$A$505,"&gt;="&amp;$B$4,'2 Sản lượng theo ca'!$A$6:$A$505,"&lt;="&amp;$D$4,'2 Sản lượng theo ca'!$C$6:$C$505,$A20))</f>
        <v/>
      </c>
      <c r="G20" s="44" t="str">
        <f t="shared" si="0"/>
        <v/>
      </c>
      <c r="H20" s="44" t="str">
        <f t="shared" si="1"/>
        <v/>
      </c>
      <c r="I20" s="43" t="str">
        <f>IF($A20="","",SUMIFS('2 Sản lượng theo ca'!$P$6:$P$505,'2 Sản lượng theo ca'!$A$6:$A$505,"&gt;="&amp;$B$4,'2 Sản lượng theo ca'!$A$6:$A$505,"&lt;="&amp;$D$4,'2 Sản lượng theo ca'!$C$6:$C$505,$A20))</f>
        <v/>
      </c>
      <c r="J20" s="43" t="str">
        <f>IF($A20="","",SUMIFS('2 Sản lượng theo ca'!$Q$6:$Q$505,'2 Sản lượng theo ca'!$A$6:$A$505,"&gt;="&amp;$B$4,'2 Sản lượng theo ca'!$A$6:$A$505,"&lt;="&amp;$D$4,'2 Sản lượng theo ca'!$C$6:$C$505,$A20))</f>
        <v/>
      </c>
      <c r="K20" s="42" t="str">
        <f>IF($A20="","",SUMIFS('2 Sản lượng theo ca'!$R$6:$R$505,'2 Sản lượng theo ca'!$A$6:$A$505,"&gt;="&amp;$B$4,'2 Sản lượng theo ca'!$A$6:$A$505,"&lt;="&amp;$D$4,'2 Sản lượng theo ca'!$C$6:$C$505,$A20))</f>
        <v/>
      </c>
      <c r="L20" s="45" t="str">
        <f>IF($A20="","",SUMIFS('2 Sản lượng theo ca'!$T$6:$T$505,'2 Sản lượng theo ca'!$A$6:$A$505,"&gt;="&amp;$B$4,'2 Sản lượng theo ca'!$A$6:$A$505,"&lt;="&amp;$D$4,'2 Sản lượng theo ca'!$C$6:$C$505,$A20))</f>
        <v/>
      </c>
      <c r="M20" s="54" t="str">
        <f>IF($A20="","",IF(N(I20)&lt;=0,"",SUMIFS('2 Sản lượng theo ca'!$U$6:$U$505,'2 Sản lượng theo ca'!$A$6:$A$505,"&gt;="&amp;$B$4,'2 Sản lượng theo ca'!$A$6:$A$505,"&lt;="&amp;$D$4,'2 Sản lượng theo ca'!$C$6:$C$505,$A20)/I20))</f>
        <v/>
      </c>
      <c r="N20" s="42" t="str">
        <f>IF($A20="","",COUNTIFS('2 Sản lượng theo ca'!$A$6:$A$505,"&gt;="&amp;$B$4,'2 Sản lượng theo ca'!$A$6:$A$505,"&lt;="&amp;$D$4,'2 Sản lượng theo ca'!$C$6:$C$505,$A20,'2 Sản lượng theo ca'!$X$6:$X$505,"?*"))</f>
        <v/>
      </c>
    </row>
    <row r="21" spans="1:14" x14ac:dyDescent="0.2">
      <c r="A21" s="33" t="str">
        <f>IF(INDEX(DS_MAY,16)="","",INDEX(DS_MAY,16))</f>
        <v/>
      </c>
      <c r="B21" s="42" t="str">
        <f>IF($A21="","",COUNTIFS('2 Sản lượng theo ca'!$A$6:$A$505,"&gt;="&amp;$B$4,'2 Sản lượng theo ca'!$A$6:$A$505,"&lt;="&amp;$D$4,'2 Sản lượng theo ca'!$C$6:$C$505,$A21))</f>
        <v/>
      </c>
      <c r="C21" s="43" t="str">
        <f>IF($A21="","",SUMIFS('2 Sản lượng theo ca'!$G$6:$G$505,'2 Sản lượng theo ca'!$A$6:$A$505,"&gt;="&amp;$B$4,'2 Sản lượng theo ca'!$A$6:$A$505,"&lt;="&amp;$D$4,'2 Sản lượng theo ca'!$C$6:$C$505,$A21))</f>
        <v/>
      </c>
      <c r="D21" s="43" t="str">
        <f>IF($A21="","",SUMIFS('2 Sản lượng theo ca'!$H$6:$H$505,'2 Sản lượng theo ca'!$A$6:$A$505,"&gt;="&amp;$B$4,'2 Sản lượng theo ca'!$A$6:$A$505,"&lt;="&amp;$D$4,'2 Sản lượng theo ca'!$C$6:$C$505,$A21))</f>
        <v/>
      </c>
      <c r="E21" s="43" t="str">
        <f>IF($A21="","",SUMIFS('2 Sản lượng theo ca'!$I$6:$I$505,'2 Sản lượng theo ca'!$A$6:$A$505,"&gt;="&amp;$B$4,'2 Sản lượng theo ca'!$A$6:$A$505,"&lt;="&amp;$D$4,'2 Sản lượng theo ca'!$C$6:$C$505,$A21))</f>
        <v/>
      </c>
      <c r="F21" s="43" t="str">
        <f>IF($A21="","",SUMIFS('2 Sản lượng theo ca'!$L$6:$L$505,'2 Sản lượng theo ca'!$A$6:$A$505,"&gt;="&amp;$B$4,'2 Sản lượng theo ca'!$A$6:$A$505,"&lt;="&amp;$D$4,'2 Sản lượng theo ca'!$C$6:$C$505,$A21))</f>
        <v/>
      </c>
      <c r="G21" s="44" t="str">
        <f t="shared" si="0"/>
        <v/>
      </c>
      <c r="H21" s="44" t="str">
        <f t="shared" si="1"/>
        <v/>
      </c>
      <c r="I21" s="43" t="str">
        <f>IF($A21="","",SUMIFS('2 Sản lượng theo ca'!$P$6:$P$505,'2 Sản lượng theo ca'!$A$6:$A$505,"&gt;="&amp;$B$4,'2 Sản lượng theo ca'!$A$6:$A$505,"&lt;="&amp;$D$4,'2 Sản lượng theo ca'!$C$6:$C$505,$A21))</f>
        <v/>
      </c>
      <c r="J21" s="43" t="str">
        <f>IF($A21="","",SUMIFS('2 Sản lượng theo ca'!$Q$6:$Q$505,'2 Sản lượng theo ca'!$A$6:$A$505,"&gt;="&amp;$B$4,'2 Sản lượng theo ca'!$A$6:$A$505,"&lt;="&amp;$D$4,'2 Sản lượng theo ca'!$C$6:$C$505,$A21))</f>
        <v/>
      </c>
      <c r="K21" s="42" t="str">
        <f>IF($A21="","",SUMIFS('2 Sản lượng theo ca'!$R$6:$R$505,'2 Sản lượng theo ca'!$A$6:$A$505,"&gt;="&amp;$B$4,'2 Sản lượng theo ca'!$A$6:$A$505,"&lt;="&amp;$D$4,'2 Sản lượng theo ca'!$C$6:$C$505,$A21))</f>
        <v/>
      </c>
      <c r="L21" s="45" t="str">
        <f>IF($A21="","",SUMIFS('2 Sản lượng theo ca'!$T$6:$T$505,'2 Sản lượng theo ca'!$A$6:$A$505,"&gt;="&amp;$B$4,'2 Sản lượng theo ca'!$A$6:$A$505,"&lt;="&amp;$D$4,'2 Sản lượng theo ca'!$C$6:$C$505,$A21))</f>
        <v/>
      </c>
      <c r="M21" s="54" t="str">
        <f>IF($A21="","",IF(N(I21)&lt;=0,"",SUMIFS('2 Sản lượng theo ca'!$U$6:$U$505,'2 Sản lượng theo ca'!$A$6:$A$505,"&gt;="&amp;$B$4,'2 Sản lượng theo ca'!$A$6:$A$505,"&lt;="&amp;$D$4,'2 Sản lượng theo ca'!$C$6:$C$505,$A21)/I21))</f>
        <v/>
      </c>
      <c r="N21" s="42" t="str">
        <f>IF($A21="","",COUNTIFS('2 Sản lượng theo ca'!$A$6:$A$505,"&gt;="&amp;$B$4,'2 Sản lượng theo ca'!$A$6:$A$505,"&lt;="&amp;$D$4,'2 Sản lượng theo ca'!$C$6:$C$505,$A21,'2 Sản lượng theo ca'!$X$6:$X$505,"?*"))</f>
        <v/>
      </c>
    </row>
    <row r="22" spans="1:14" x14ac:dyDescent="0.2">
      <c r="A22" s="33" t="str">
        <f>IF(INDEX(DS_MAY,17)="","",INDEX(DS_MAY,17))</f>
        <v/>
      </c>
      <c r="B22" s="42" t="str">
        <f>IF($A22="","",COUNTIFS('2 Sản lượng theo ca'!$A$6:$A$505,"&gt;="&amp;$B$4,'2 Sản lượng theo ca'!$A$6:$A$505,"&lt;="&amp;$D$4,'2 Sản lượng theo ca'!$C$6:$C$505,$A22))</f>
        <v/>
      </c>
      <c r="C22" s="43" t="str">
        <f>IF($A22="","",SUMIFS('2 Sản lượng theo ca'!$G$6:$G$505,'2 Sản lượng theo ca'!$A$6:$A$505,"&gt;="&amp;$B$4,'2 Sản lượng theo ca'!$A$6:$A$505,"&lt;="&amp;$D$4,'2 Sản lượng theo ca'!$C$6:$C$505,$A22))</f>
        <v/>
      </c>
      <c r="D22" s="43" t="str">
        <f>IF($A22="","",SUMIFS('2 Sản lượng theo ca'!$H$6:$H$505,'2 Sản lượng theo ca'!$A$6:$A$505,"&gt;="&amp;$B$4,'2 Sản lượng theo ca'!$A$6:$A$505,"&lt;="&amp;$D$4,'2 Sản lượng theo ca'!$C$6:$C$505,$A22))</f>
        <v/>
      </c>
      <c r="E22" s="43" t="str">
        <f>IF($A22="","",SUMIFS('2 Sản lượng theo ca'!$I$6:$I$505,'2 Sản lượng theo ca'!$A$6:$A$505,"&gt;="&amp;$B$4,'2 Sản lượng theo ca'!$A$6:$A$505,"&lt;="&amp;$D$4,'2 Sản lượng theo ca'!$C$6:$C$505,$A22))</f>
        <v/>
      </c>
      <c r="F22" s="43" t="str">
        <f>IF($A22="","",SUMIFS('2 Sản lượng theo ca'!$L$6:$L$505,'2 Sản lượng theo ca'!$A$6:$A$505,"&gt;="&amp;$B$4,'2 Sản lượng theo ca'!$A$6:$A$505,"&lt;="&amp;$D$4,'2 Sản lượng theo ca'!$C$6:$C$505,$A22))</f>
        <v/>
      </c>
      <c r="G22" s="44" t="str">
        <f t="shared" si="0"/>
        <v/>
      </c>
      <c r="H22" s="44" t="str">
        <f t="shared" si="1"/>
        <v/>
      </c>
      <c r="I22" s="43" t="str">
        <f>IF($A22="","",SUMIFS('2 Sản lượng theo ca'!$P$6:$P$505,'2 Sản lượng theo ca'!$A$6:$A$505,"&gt;="&amp;$B$4,'2 Sản lượng theo ca'!$A$6:$A$505,"&lt;="&amp;$D$4,'2 Sản lượng theo ca'!$C$6:$C$505,$A22))</f>
        <v/>
      </c>
      <c r="J22" s="43" t="str">
        <f>IF($A22="","",SUMIFS('2 Sản lượng theo ca'!$Q$6:$Q$505,'2 Sản lượng theo ca'!$A$6:$A$505,"&gt;="&amp;$B$4,'2 Sản lượng theo ca'!$A$6:$A$505,"&lt;="&amp;$D$4,'2 Sản lượng theo ca'!$C$6:$C$505,$A22))</f>
        <v/>
      </c>
      <c r="K22" s="42" t="str">
        <f>IF($A22="","",SUMIFS('2 Sản lượng theo ca'!$R$6:$R$505,'2 Sản lượng theo ca'!$A$6:$A$505,"&gt;="&amp;$B$4,'2 Sản lượng theo ca'!$A$6:$A$505,"&lt;="&amp;$D$4,'2 Sản lượng theo ca'!$C$6:$C$505,$A22))</f>
        <v/>
      </c>
      <c r="L22" s="45" t="str">
        <f>IF($A22="","",SUMIFS('2 Sản lượng theo ca'!$T$6:$T$505,'2 Sản lượng theo ca'!$A$6:$A$505,"&gt;="&amp;$B$4,'2 Sản lượng theo ca'!$A$6:$A$505,"&lt;="&amp;$D$4,'2 Sản lượng theo ca'!$C$6:$C$505,$A22))</f>
        <v/>
      </c>
      <c r="M22" s="54" t="str">
        <f>IF($A22="","",IF(N(I22)&lt;=0,"",SUMIFS('2 Sản lượng theo ca'!$U$6:$U$505,'2 Sản lượng theo ca'!$A$6:$A$505,"&gt;="&amp;$B$4,'2 Sản lượng theo ca'!$A$6:$A$505,"&lt;="&amp;$D$4,'2 Sản lượng theo ca'!$C$6:$C$505,$A22)/I22))</f>
        <v/>
      </c>
      <c r="N22" s="42" t="str">
        <f>IF($A22="","",COUNTIFS('2 Sản lượng theo ca'!$A$6:$A$505,"&gt;="&amp;$B$4,'2 Sản lượng theo ca'!$A$6:$A$505,"&lt;="&amp;$D$4,'2 Sản lượng theo ca'!$C$6:$C$505,$A22,'2 Sản lượng theo ca'!$X$6:$X$505,"?*"))</f>
        <v/>
      </c>
    </row>
    <row r="23" spans="1:14" x14ac:dyDescent="0.2">
      <c r="A23" s="33" t="str">
        <f>IF(INDEX(DS_MAY,18)="","",INDEX(DS_MAY,18))</f>
        <v/>
      </c>
      <c r="B23" s="42" t="str">
        <f>IF($A23="","",COUNTIFS('2 Sản lượng theo ca'!$A$6:$A$505,"&gt;="&amp;$B$4,'2 Sản lượng theo ca'!$A$6:$A$505,"&lt;="&amp;$D$4,'2 Sản lượng theo ca'!$C$6:$C$505,$A23))</f>
        <v/>
      </c>
      <c r="C23" s="43" t="str">
        <f>IF($A23="","",SUMIFS('2 Sản lượng theo ca'!$G$6:$G$505,'2 Sản lượng theo ca'!$A$6:$A$505,"&gt;="&amp;$B$4,'2 Sản lượng theo ca'!$A$6:$A$505,"&lt;="&amp;$D$4,'2 Sản lượng theo ca'!$C$6:$C$505,$A23))</f>
        <v/>
      </c>
      <c r="D23" s="43" t="str">
        <f>IF($A23="","",SUMIFS('2 Sản lượng theo ca'!$H$6:$H$505,'2 Sản lượng theo ca'!$A$6:$A$505,"&gt;="&amp;$B$4,'2 Sản lượng theo ca'!$A$6:$A$505,"&lt;="&amp;$D$4,'2 Sản lượng theo ca'!$C$6:$C$505,$A23))</f>
        <v/>
      </c>
      <c r="E23" s="43" t="str">
        <f>IF($A23="","",SUMIFS('2 Sản lượng theo ca'!$I$6:$I$505,'2 Sản lượng theo ca'!$A$6:$A$505,"&gt;="&amp;$B$4,'2 Sản lượng theo ca'!$A$6:$A$505,"&lt;="&amp;$D$4,'2 Sản lượng theo ca'!$C$6:$C$505,$A23))</f>
        <v/>
      </c>
      <c r="F23" s="43" t="str">
        <f>IF($A23="","",SUMIFS('2 Sản lượng theo ca'!$L$6:$L$505,'2 Sản lượng theo ca'!$A$6:$A$505,"&gt;="&amp;$B$4,'2 Sản lượng theo ca'!$A$6:$A$505,"&lt;="&amp;$D$4,'2 Sản lượng theo ca'!$C$6:$C$505,$A23))</f>
        <v/>
      </c>
      <c r="G23" s="44" t="str">
        <f t="shared" si="0"/>
        <v/>
      </c>
      <c r="H23" s="44" t="str">
        <f t="shared" si="1"/>
        <v/>
      </c>
      <c r="I23" s="43" t="str">
        <f>IF($A23="","",SUMIFS('2 Sản lượng theo ca'!$P$6:$P$505,'2 Sản lượng theo ca'!$A$6:$A$505,"&gt;="&amp;$B$4,'2 Sản lượng theo ca'!$A$6:$A$505,"&lt;="&amp;$D$4,'2 Sản lượng theo ca'!$C$6:$C$505,$A23))</f>
        <v/>
      </c>
      <c r="J23" s="43" t="str">
        <f>IF($A23="","",SUMIFS('2 Sản lượng theo ca'!$Q$6:$Q$505,'2 Sản lượng theo ca'!$A$6:$A$505,"&gt;="&amp;$B$4,'2 Sản lượng theo ca'!$A$6:$A$505,"&lt;="&amp;$D$4,'2 Sản lượng theo ca'!$C$6:$C$505,$A23))</f>
        <v/>
      </c>
      <c r="K23" s="42" t="str">
        <f>IF($A23="","",SUMIFS('2 Sản lượng theo ca'!$R$6:$R$505,'2 Sản lượng theo ca'!$A$6:$A$505,"&gt;="&amp;$B$4,'2 Sản lượng theo ca'!$A$6:$A$505,"&lt;="&amp;$D$4,'2 Sản lượng theo ca'!$C$6:$C$505,$A23))</f>
        <v/>
      </c>
      <c r="L23" s="45" t="str">
        <f>IF($A23="","",SUMIFS('2 Sản lượng theo ca'!$T$6:$T$505,'2 Sản lượng theo ca'!$A$6:$A$505,"&gt;="&amp;$B$4,'2 Sản lượng theo ca'!$A$6:$A$505,"&lt;="&amp;$D$4,'2 Sản lượng theo ca'!$C$6:$C$505,$A23))</f>
        <v/>
      </c>
      <c r="M23" s="54" t="str">
        <f>IF($A23="","",IF(N(I23)&lt;=0,"",SUMIFS('2 Sản lượng theo ca'!$U$6:$U$505,'2 Sản lượng theo ca'!$A$6:$A$505,"&gt;="&amp;$B$4,'2 Sản lượng theo ca'!$A$6:$A$505,"&lt;="&amp;$D$4,'2 Sản lượng theo ca'!$C$6:$C$505,$A23)/I23))</f>
        <v/>
      </c>
      <c r="N23" s="42" t="str">
        <f>IF($A23="","",COUNTIFS('2 Sản lượng theo ca'!$A$6:$A$505,"&gt;="&amp;$B$4,'2 Sản lượng theo ca'!$A$6:$A$505,"&lt;="&amp;$D$4,'2 Sản lượng theo ca'!$C$6:$C$505,$A23,'2 Sản lượng theo ca'!$X$6:$X$505,"?*"))</f>
        <v/>
      </c>
    </row>
    <row r="24" spans="1:14" x14ac:dyDescent="0.2">
      <c r="A24" s="33" t="str">
        <f>IF(INDEX(DS_MAY,19)="","",INDEX(DS_MAY,19))</f>
        <v/>
      </c>
      <c r="B24" s="42" t="str">
        <f>IF($A24="","",COUNTIFS('2 Sản lượng theo ca'!$A$6:$A$505,"&gt;="&amp;$B$4,'2 Sản lượng theo ca'!$A$6:$A$505,"&lt;="&amp;$D$4,'2 Sản lượng theo ca'!$C$6:$C$505,$A24))</f>
        <v/>
      </c>
      <c r="C24" s="43" t="str">
        <f>IF($A24="","",SUMIFS('2 Sản lượng theo ca'!$G$6:$G$505,'2 Sản lượng theo ca'!$A$6:$A$505,"&gt;="&amp;$B$4,'2 Sản lượng theo ca'!$A$6:$A$505,"&lt;="&amp;$D$4,'2 Sản lượng theo ca'!$C$6:$C$505,$A24))</f>
        <v/>
      </c>
      <c r="D24" s="43" t="str">
        <f>IF($A24="","",SUMIFS('2 Sản lượng theo ca'!$H$6:$H$505,'2 Sản lượng theo ca'!$A$6:$A$505,"&gt;="&amp;$B$4,'2 Sản lượng theo ca'!$A$6:$A$505,"&lt;="&amp;$D$4,'2 Sản lượng theo ca'!$C$6:$C$505,$A24))</f>
        <v/>
      </c>
      <c r="E24" s="43" t="str">
        <f>IF($A24="","",SUMIFS('2 Sản lượng theo ca'!$I$6:$I$505,'2 Sản lượng theo ca'!$A$6:$A$505,"&gt;="&amp;$B$4,'2 Sản lượng theo ca'!$A$6:$A$505,"&lt;="&amp;$D$4,'2 Sản lượng theo ca'!$C$6:$C$505,$A24))</f>
        <v/>
      </c>
      <c r="F24" s="43" t="str">
        <f>IF($A24="","",SUMIFS('2 Sản lượng theo ca'!$L$6:$L$505,'2 Sản lượng theo ca'!$A$6:$A$505,"&gt;="&amp;$B$4,'2 Sản lượng theo ca'!$A$6:$A$505,"&lt;="&amp;$D$4,'2 Sản lượng theo ca'!$C$6:$C$505,$A24))</f>
        <v/>
      </c>
      <c r="G24" s="44" t="str">
        <f t="shared" si="0"/>
        <v/>
      </c>
      <c r="H24" s="44" t="str">
        <f t="shared" si="1"/>
        <v/>
      </c>
      <c r="I24" s="43" t="str">
        <f>IF($A24="","",SUMIFS('2 Sản lượng theo ca'!$P$6:$P$505,'2 Sản lượng theo ca'!$A$6:$A$505,"&gt;="&amp;$B$4,'2 Sản lượng theo ca'!$A$6:$A$505,"&lt;="&amp;$D$4,'2 Sản lượng theo ca'!$C$6:$C$505,$A24))</f>
        <v/>
      </c>
      <c r="J24" s="43" t="str">
        <f>IF($A24="","",SUMIFS('2 Sản lượng theo ca'!$Q$6:$Q$505,'2 Sản lượng theo ca'!$A$6:$A$505,"&gt;="&amp;$B$4,'2 Sản lượng theo ca'!$A$6:$A$505,"&lt;="&amp;$D$4,'2 Sản lượng theo ca'!$C$6:$C$505,$A24))</f>
        <v/>
      </c>
      <c r="K24" s="42" t="str">
        <f>IF($A24="","",SUMIFS('2 Sản lượng theo ca'!$R$6:$R$505,'2 Sản lượng theo ca'!$A$6:$A$505,"&gt;="&amp;$B$4,'2 Sản lượng theo ca'!$A$6:$A$505,"&lt;="&amp;$D$4,'2 Sản lượng theo ca'!$C$6:$C$505,$A24))</f>
        <v/>
      </c>
      <c r="L24" s="45" t="str">
        <f>IF($A24="","",SUMIFS('2 Sản lượng theo ca'!$T$6:$T$505,'2 Sản lượng theo ca'!$A$6:$A$505,"&gt;="&amp;$B$4,'2 Sản lượng theo ca'!$A$6:$A$505,"&lt;="&amp;$D$4,'2 Sản lượng theo ca'!$C$6:$C$505,$A24))</f>
        <v/>
      </c>
      <c r="M24" s="54" t="str">
        <f>IF($A24="","",IF(N(I24)&lt;=0,"",SUMIFS('2 Sản lượng theo ca'!$U$6:$U$505,'2 Sản lượng theo ca'!$A$6:$A$505,"&gt;="&amp;$B$4,'2 Sản lượng theo ca'!$A$6:$A$505,"&lt;="&amp;$D$4,'2 Sản lượng theo ca'!$C$6:$C$505,$A24)/I24))</f>
        <v/>
      </c>
      <c r="N24" s="42" t="str">
        <f>IF($A24="","",COUNTIFS('2 Sản lượng theo ca'!$A$6:$A$505,"&gt;="&amp;$B$4,'2 Sản lượng theo ca'!$A$6:$A$505,"&lt;="&amp;$D$4,'2 Sản lượng theo ca'!$C$6:$C$505,$A24,'2 Sản lượng theo ca'!$X$6:$X$505,"?*"))</f>
        <v/>
      </c>
    </row>
    <row r="25" spans="1:14" x14ac:dyDescent="0.2">
      <c r="A25" s="33" t="str">
        <f>IF(INDEX(DS_MAY,20)="","",INDEX(DS_MAY,20))</f>
        <v/>
      </c>
      <c r="B25" s="42" t="str">
        <f>IF($A25="","",COUNTIFS('2 Sản lượng theo ca'!$A$6:$A$505,"&gt;="&amp;$B$4,'2 Sản lượng theo ca'!$A$6:$A$505,"&lt;="&amp;$D$4,'2 Sản lượng theo ca'!$C$6:$C$505,$A25))</f>
        <v/>
      </c>
      <c r="C25" s="43" t="str">
        <f>IF($A25="","",SUMIFS('2 Sản lượng theo ca'!$G$6:$G$505,'2 Sản lượng theo ca'!$A$6:$A$505,"&gt;="&amp;$B$4,'2 Sản lượng theo ca'!$A$6:$A$505,"&lt;="&amp;$D$4,'2 Sản lượng theo ca'!$C$6:$C$505,$A25))</f>
        <v/>
      </c>
      <c r="D25" s="43" t="str">
        <f>IF($A25="","",SUMIFS('2 Sản lượng theo ca'!$H$6:$H$505,'2 Sản lượng theo ca'!$A$6:$A$505,"&gt;="&amp;$B$4,'2 Sản lượng theo ca'!$A$6:$A$505,"&lt;="&amp;$D$4,'2 Sản lượng theo ca'!$C$6:$C$505,$A25))</f>
        <v/>
      </c>
      <c r="E25" s="43" t="str">
        <f>IF($A25="","",SUMIFS('2 Sản lượng theo ca'!$I$6:$I$505,'2 Sản lượng theo ca'!$A$6:$A$505,"&gt;="&amp;$B$4,'2 Sản lượng theo ca'!$A$6:$A$505,"&lt;="&amp;$D$4,'2 Sản lượng theo ca'!$C$6:$C$505,$A25))</f>
        <v/>
      </c>
      <c r="F25" s="43" t="str">
        <f>IF($A25="","",SUMIFS('2 Sản lượng theo ca'!$L$6:$L$505,'2 Sản lượng theo ca'!$A$6:$A$505,"&gt;="&amp;$B$4,'2 Sản lượng theo ca'!$A$6:$A$505,"&lt;="&amp;$D$4,'2 Sản lượng theo ca'!$C$6:$C$505,$A25))</f>
        <v/>
      </c>
      <c r="G25" s="44" t="str">
        <f t="shared" si="0"/>
        <v/>
      </c>
      <c r="H25" s="44" t="str">
        <f t="shared" si="1"/>
        <v/>
      </c>
      <c r="I25" s="43" t="str">
        <f>IF($A25="","",SUMIFS('2 Sản lượng theo ca'!$P$6:$P$505,'2 Sản lượng theo ca'!$A$6:$A$505,"&gt;="&amp;$B$4,'2 Sản lượng theo ca'!$A$6:$A$505,"&lt;="&amp;$D$4,'2 Sản lượng theo ca'!$C$6:$C$505,$A25))</f>
        <v/>
      </c>
      <c r="J25" s="43" t="str">
        <f>IF($A25="","",SUMIFS('2 Sản lượng theo ca'!$Q$6:$Q$505,'2 Sản lượng theo ca'!$A$6:$A$505,"&gt;="&amp;$B$4,'2 Sản lượng theo ca'!$A$6:$A$505,"&lt;="&amp;$D$4,'2 Sản lượng theo ca'!$C$6:$C$505,$A25))</f>
        <v/>
      </c>
      <c r="K25" s="42" t="str">
        <f>IF($A25="","",SUMIFS('2 Sản lượng theo ca'!$R$6:$R$505,'2 Sản lượng theo ca'!$A$6:$A$505,"&gt;="&amp;$B$4,'2 Sản lượng theo ca'!$A$6:$A$505,"&lt;="&amp;$D$4,'2 Sản lượng theo ca'!$C$6:$C$505,$A25))</f>
        <v/>
      </c>
      <c r="L25" s="45" t="str">
        <f>IF($A25="","",SUMIFS('2 Sản lượng theo ca'!$T$6:$T$505,'2 Sản lượng theo ca'!$A$6:$A$505,"&gt;="&amp;$B$4,'2 Sản lượng theo ca'!$A$6:$A$505,"&lt;="&amp;$D$4,'2 Sản lượng theo ca'!$C$6:$C$505,$A25))</f>
        <v/>
      </c>
      <c r="M25" s="54" t="str">
        <f>IF($A25="","",IF(N(I25)&lt;=0,"",SUMIFS('2 Sản lượng theo ca'!$U$6:$U$505,'2 Sản lượng theo ca'!$A$6:$A$505,"&gt;="&amp;$B$4,'2 Sản lượng theo ca'!$A$6:$A$505,"&lt;="&amp;$D$4,'2 Sản lượng theo ca'!$C$6:$C$505,$A25)/I25))</f>
        <v/>
      </c>
      <c r="N25" s="42" t="str">
        <f>IF($A25="","",COUNTIFS('2 Sản lượng theo ca'!$A$6:$A$505,"&gt;="&amp;$B$4,'2 Sản lượng theo ca'!$A$6:$A$505,"&lt;="&amp;$D$4,'2 Sản lượng theo ca'!$C$6:$C$505,$A25,'2 Sản lượng theo ca'!$X$6:$X$505,"?*"))</f>
        <v/>
      </c>
    </row>
    <row r="26" spans="1:14" x14ac:dyDescent="0.2">
      <c r="A26" s="46" t="s">
        <v>206</v>
      </c>
      <c r="B26" s="47">
        <f>COUNTIFS('2 Sản lượng theo ca'!$A$6:$A$505,"&gt;="&amp;$B$4,'2 Sản lượng theo ca'!$A$6:$A$505,"&lt;="&amp;$D$4,'2 Sản lượng theo ca'!$C$6:$C$505,"&lt;&gt;")</f>
        <v>40</v>
      </c>
      <c r="C26" s="48">
        <f>SUMIFS('2 Sản lượng theo ca'!$G$6:$G$505,'2 Sản lượng theo ca'!$A$6:$A$505,"&gt;="&amp;$B$4,'2 Sản lượng theo ca'!$A$6:$A$505,"&lt;="&amp;$D$4,'2 Sản lượng theo ca'!$C$6:$C$505,"&lt;&gt;")</f>
        <v>27720</v>
      </c>
      <c r="D26" s="48">
        <f>SUMIFS('2 Sản lượng theo ca'!$H$6:$H$505,'2 Sản lượng theo ca'!$A$6:$A$505,"&gt;="&amp;$B$4,'2 Sản lượng theo ca'!$A$6:$A$505,"&lt;="&amp;$D$4,'2 Sản lượng theo ca'!$C$6:$C$505,"&lt;&gt;")</f>
        <v>26131</v>
      </c>
      <c r="E26" s="48">
        <f>SUMIFS('2 Sản lượng theo ca'!$I$6:$I$505,'2 Sản lượng theo ca'!$A$6:$A$505,"&gt;="&amp;$B$4,'2 Sản lượng theo ca'!$A$6:$A$505,"&lt;="&amp;$D$4,'2 Sản lượng theo ca'!$C$6:$C$505,"&lt;&gt;")</f>
        <v>375</v>
      </c>
      <c r="F26" s="48">
        <f>SUMIFS('2 Sản lượng theo ca'!$L$6:$L$505,'2 Sản lượng theo ca'!$A$6:$A$505,"&gt;="&amp;$B$4,'2 Sản lượng theo ca'!$A$6:$A$505,"&lt;="&amp;$D$4,'2 Sản lượng theo ca'!$C$6:$C$505,"&lt;&gt;")</f>
        <v>25756</v>
      </c>
      <c r="G26" s="32">
        <f>IF(N(C26)&lt;=0,"",F26/C26)</f>
        <v>0.92914862914862917</v>
      </c>
      <c r="H26" s="32">
        <f>IF(N(D26)&lt;=0,"",E26/D26)</f>
        <v>1.43507711147679E-2</v>
      </c>
      <c r="I26" s="48">
        <f>SUMIFS('2 Sản lượng theo ca'!$P$6:$P$505,'2 Sản lượng theo ca'!$A$6:$A$505,"&gt;="&amp;$B$4,'2 Sản lượng theo ca'!$A$6:$A$505,"&lt;="&amp;$D$4,'2 Sản lượng theo ca'!$C$6:$C$505,"&lt;&gt;")</f>
        <v>16620</v>
      </c>
      <c r="J26" s="48">
        <f>SUMIFS('2 Sản lượng theo ca'!$Q$6:$Q$505,'2 Sản lượng theo ca'!$A$6:$A$505,"&gt;="&amp;$B$4,'2 Sản lượng theo ca'!$A$6:$A$505,"&lt;="&amp;$D$4,'2 Sản lượng theo ca'!$C$6:$C$505,"&lt;&gt;")</f>
        <v>1950</v>
      </c>
      <c r="K26" s="47">
        <f>SUMIFS('2 Sản lượng theo ca'!$R$6:$R$505,'2 Sản lượng theo ca'!$A$6:$A$505,"&gt;="&amp;$B$4,'2 Sản lượng theo ca'!$A$6:$A$505,"&lt;="&amp;$D$4,'2 Sản lượng theo ca'!$C$6:$C$505,"&lt;&gt;")</f>
        <v>63</v>
      </c>
      <c r="L26" s="49">
        <f>SUMIFS('2 Sản lượng theo ca'!$T$6:$T$505,'2 Sản lượng theo ca'!$A$6:$A$505,"&gt;="&amp;$B$4,'2 Sản lượng theo ca'!$A$6:$A$505,"&lt;="&amp;$D$4,'2 Sản lượng theo ca'!$C$6:$C$505,"&lt;&gt;")</f>
        <v>1329.1</v>
      </c>
      <c r="M26" s="32">
        <f>IF(N(I26)&lt;=0,"",SUMIFS('2 Sản lượng theo ca'!$U$6:$U$505,'2 Sản lượng theo ca'!$A$6:$A$505,"&gt;="&amp;$B$4,'2 Sản lượng theo ca'!$A$6:$A$505,"&lt;="&amp;$D$4,'2 Sản lượng theo ca'!$C$6:$C$505,"&lt;&gt;")/I26)</f>
        <v>0.78910048134777366</v>
      </c>
      <c r="N26" s="47">
        <f>COUNTIFS('2 Sản lượng theo ca'!$A$6:$A$505,"&gt;="&amp;$B$4,'2 Sản lượng theo ca'!$A$6:$A$505,"&lt;="&amp;$D$4,'2 Sản lượng theo ca'!$C$6:$C$505,"&lt;&gt;",'2 Sản lượng theo ca'!$X$6:$X$505,"?*")</f>
        <v>6</v>
      </c>
    </row>
    <row r="28" spans="1:14" x14ac:dyDescent="0.2">
      <c r="A28" s="24" t="s">
        <v>207</v>
      </c>
    </row>
  </sheetData>
  <conditionalFormatting sqref="M6:M26">
    <cfRule type="cellIs" dxfId="0" priority="1" operator="greaterThan">
      <formula>1</formula>
    </cfRule>
  </conditionalFormatting>
  <hyperlinks>
    <hyperlink ref="A3" location="'Bắt đầu'!A1" display="← Về trang Bắt đầu" xr:uid="{00000000-0004-0000-0700-000000000000}"/>
  </hyperlinks>
  <pageMargins left="0.75" right="0.75" top="1" bottom="1" header="0.5" footer="0.5"/>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16"/>
  <sheetViews>
    <sheetView showGridLines="0" workbookViewId="0"/>
  </sheetViews>
  <sheetFormatPr baseColWidth="10" defaultColWidth="8.83203125" defaultRowHeight="15" x14ac:dyDescent="0.2"/>
  <cols>
    <col min="1" max="1" width="44" customWidth="1"/>
    <col min="2" max="2" width="12" customWidth="1"/>
    <col min="3" max="3" width="16" customWidth="1"/>
    <col min="4" max="4" width="90" customWidth="1"/>
  </cols>
  <sheetData>
    <row r="1" spans="1:4" ht="18" x14ac:dyDescent="0.2">
      <c r="A1" s="9" t="s">
        <v>208</v>
      </c>
    </row>
    <row r="2" spans="1:4" x14ac:dyDescent="0.2">
      <c r="A2" s="2" t="s">
        <v>209</v>
      </c>
    </row>
    <row r="3" spans="1:4" x14ac:dyDescent="0.2">
      <c r="A3" s="10" t="s">
        <v>37</v>
      </c>
    </row>
    <row r="5" spans="1:4" x14ac:dyDescent="0.2">
      <c r="A5" s="12" t="s">
        <v>210</v>
      </c>
      <c r="B5" s="12" t="s">
        <v>211</v>
      </c>
      <c r="C5" s="12" t="s">
        <v>212</v>
      </c>
      <c r="D5" s="12" t="s">
        <v>213</v>
      </c>
    </row>
    <row r="6" spans="1:4" ht="42" customHeight="1" x14ac:dyDescent="0.2">
      <c r="A6" s="55" t="s">
        <v>214</v>
      </c>
      <c r="B6" s="56">
        <f>COUNTIFS('3 Nhật ký dừng máy'!$K$6:$K$1005,"Ngoài kế hoạch")</f>
        <v>63</v>
      </c>
      <c r="C6" s="42"/>
      <c r="D6" s="55" t="s">
        <v>215</v>
      </c>
    </row>
    <row r="7" spans="1:4" ht="42" customHeight="1" x14ac:dyDescent="0.2">
      <c r="A7" s="55" t="s">
        <v>216</v>
      </c>
      <c r="B7" s="57">
        <f>IFERROR(SUMIFS('3 Nhật ký dừng máy'!$M$6:$M$1005,'3 Nhật ký dừng máy'!$K$6:$K$1005,"Ngoài kế hoạch")/COUNTIFS('3 Nhật ký dừng máy'!$K$6:$K$1005,"Ngoài kế hoạch"),"")</f>
        <v>0.8571428571428571</v>
      </c>
      <c r="C7" s="42" t="s">
        <v>217</v>
      </c>
      <c r="D7" s="55" t="s">
        <v>218</v>
      </c>
    </row>
    <row r="8" spans="1:4" ht="42" customHeight="1" x14ac:dyDescent="0.2">
      <c r="A8" s="55" t="s">
        <v>219</v>
      </c>
      <c r="B8" s="56">
        <f>COUNTIFS('3 Nhật ký dừng máy'!$K$6:$K$1005,"Ngoài kế hoạch",'3 Nhật ký dừng máy'!$I$6:$I$1005,"&lt;5")</f>
        <v>0</v>
      </c>
      <c r="C8" s="42" t="s">
        <v>220</v>
      </c>
      <c r="D8" s="55" t="s">
        <v>221</v>
      </c>
    </row>
    <row r="9" spans="1:4" ht="42" customHeight="1" x14ac:dyDescent="0.2">
      <c r="A9" s="55" t="s">
        <v>222</v>
      </c>
      <c r="B9" s="58">
        <f>IFERROR(SUMIFS('2 Sản lượng theo ca'!$T$6:$T$505,'2 Sản lượng theo ca'!$T$6:$T$505,"&gt;0")/SUMIFS('2 Sản lượng theo ca'!$P$6:$P$505,'2 Sản lượng theo ca'!$T$6:$T$505,"&gt;0"),"")</f>
        <v>0.11464859437751003</v>
      </c>
      <c r="C9" s="42" t="s">
        <v>223</v>
      </c>
      <c r="D9" s="55" t="s">
        <v>224</v>
      </c>
    </row>
    <row r="10" spans="1:4" ht="42" customHeight="1" x14ac:dyDescent="0.2">
      <c r="A10" s="55" t="s">
        <v>225</v>
      </c>
      <c r="B10" s="56">
        <f>COUNTIFS('2 Sản lượng theo ca'!$T$6:$T$505,"&lt;0")</f>
        <v>4</v>
      </c>
      <c r="C10" s="42" t="s">
        <v>226</v>
      </c>
      <c r="D10" s="55" t="s">
        <v>227</v>
      </c>
    </row>
    <row r="11" spans="1:4" ht="42" customHeight="1" x14ac:dyDescent="0.2">
      <c r="A11" s="55" t="s">
        <v>228</v>
      </c>
      <c r="B11" s="59">
        <f>IFERROR(AVERAGE('2 Sản lượng theo ca'!$W$6:$W$505),"")</f>
        <v>1.325</v>
      </c>
      <c r="C11" s="42" t="s">
        <v>226</v>
      </c>
      <c r="D11" s="55" t="s">
        <v>229</v>
      </c>
    </row>
    <row r="12" spans="1:4" ht="42" customHeight="1" x14ac:dyDescent="0.2">
      <c r="A12" s="55" t="s">
        <v>230</v>
      </c>
      <c r="B12" s="57">
        <f>IFERROR(COUNTIFS('2 Sản lượng theo ca'!$W$6:$W$505,"&gt;0")/COUNT('2 Sản lượng theo ca'!$W$6:$W$505),"")</f>
        <v>0.92500000000000004</v>
      </c>
      <c r="C12" s="42" t="s">
        <v>231</v>
      </c>
      <c r="D12" s="55" t="s">
        <v>232</v>
      </c>
    </row>
    <row r="13" spans="1:4" ht="42" customHeight="1" x14ac:dyDescent="0.2">
      <c r="A13" s="55" t="s">
        <v>233</v>
      </c>
      <c r="B13" s="56">
        <f>COUNTIFS('2 Sản lượng theo ca'!$C$6:$C$505,"&lt;&gt;",'2 Sản lượng theo ca'!$D$6:$D$505,"")</f>
        <v>1</v>
      </c>
      <c r="C13" s="42" t="s">
        <v>226</v>
      </c>
      <c r="D13" s="55" t="s">
        <v>234</v>
      </c>
    </row>
    <row r="14" spans="1:4" ht="42" customHeight="1" x14ac:dyDescent="0.2">
      <c r="A14" s="55" t="s">
        <v>235</v>
      </c>
      <c r="B14" s="56">
        <f>COUNTIFS('2 Sản lượng theo ca'!$C$6:$C$505,"&lt;&gt;",'2 Sản lượng theo ca'!$R$6:$R$505,0)</f>
        <v>2</v>
      </c>
      <c r="C14" s="42" t="s">
        <v>236</v>
      </c>
      <c r="D14" s="55" t="s">
        <v>237</v>
      </c>
    </row>
    <row r="16" spans="1:4" ht="44" customHeight="1" x14ac:dyDescent="0.2">
      <c r="A16" s="60" t="s">
        <v>238</v>
      </c>
      <c r="B16" s="61"/>
      <c r="C16" s="61"/>
      <c r="D16" s="61"/>
    </row>
  </sheetData>
  <mergeCells count="1">
    <mergeCell ref="A16:D16"/>
  </mergeCells>
  <hyperlinks>
    <hyperlink ref="A3" location="'Bắt đầu'!A1" display="← Về trang Bắt đầu" xr:uid="{00000000-0004-0000-0800-000000000000}"/>
  </hyperlinks>
  <pageMargins left="0.75" right="0.75" top="1" bottom="1"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Bắt đầu</vt:lpstr>
      <vt:lpstr>1 Danh mục</vt:lpstr>
      <vt:lpstr>2 Sản lượng theo ca</vt:lpstr>
      <vt:lpstr>3 Nhật ký dừng máy</vt:lpstr>
      <vt:lpstr>4 Tiến độ lệnh</vt:lpstr>
      <vt:lpstr>5 Báo cáo ca</vt:lpstr>
      <vt:lpstr>6 Dừng máy theo lý do</vt:lpstr>
      <vt:lpstr>7 Tổng hợp theo máy</vt:lpstr>
      <vt:lpstr>8 Tự kiểm dữ liệu</vt:lpstr>
      <vt:lpstr>CA_NGHI</vt:lpstr>
      <vt:lpstr>CA_TG</vt:lpstr>
      <vt:lpstr>DS_BP</vt:lpstr>
      <vt:lpstr>DS_CA</vt:lpstr>
      <vt:lpstr>DS_LSX</vt:lpstr>
      <vt:lpstr>DS_LYDO</vt:lpstr>
      <vt:lpstr>DS_MAY</vt:lpstr>
      <vt:lpstr>DS_MH</vt:lpstr>
      <vt:lpstr>DS_NV</vt:lpstr>
      <vt:lpstr>LYDO_BP</vt:lpstr>
      <vt:lpstr>LYDO_LOAI</vt:lpstr>
      <vt:lpstr>LYDO_TEN</vt:lpstr>
      <vt:lpstr>MH_CT</vt:lpstr>
      <vt:lpstr>NGHI_TUAN</vt:lpstr>
      <vt:lpstr>'5 Báo cáo ca'!Print_Area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SAMITECH</dc:creator>
  <cp:lastModifiedBy>SAMITECH</cp:lastModifiedBy>
  <dcterms:created xsi:type="dcterms:W3CDTF">2026-09-27T10:23:59Z</dcterms:created>
  <dcterms:modified xsi:type="dcterms:W3CDTF">2026-09-27T10:24:02Z</dcterms:modified>
</cp:coreProperties>
</file>